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155"/>
  </bookViews>
  <sheets>
    <sheet name="Arkusz1" sheetId="1" r:id="rId1"/>
  </sheets>
  <definedNames>
    <definedName name="_xlnm.Print_Area" localSheetId="0">Arkusz1!$A$1:$K$106</definedName>
    <definedName name="_xlnm.Print_Titles" localSheetId="0">Arkusz1!$6:$7</definedName>
  </definedNames>
  <calcPr calcId="152511"/>
</workbook>
</file>

<file path=xl/calcChain.xml><?xml version="1.0" encoding="utf-8"?>
<calcChain xmlns="http://schemas.openxmlformats.org/spreadsheetml/2006/main">
  <c r="L102" i="1" l="1"/>
  <c r="G102" i="1" l="1"/>
  <c r="J88" i="1" l="1"/>
  <c r="I88" i="1"/>
  <c r="H88" i="1"/>
  <c r="G88" i="1"/>
  <c r="F88" i="1"/>
  <c r="C84" i="1"/>
  <c r="C83" i="1"/>
  <c r="J80" i="1"/>
  <c r="D93" i="1"/>
  <c r="C57" i="1" l="1"/>
  <c r="C105" i="1" l="1"/>
  <c r="G105" i="1" l="1"/>
  <c r="D105" i="1" l="1"/>
  <c r="J12" i="1" l="1"/>
  <c r="J63" i="1" l="1"/>
  <c r="I63" i="1"/>
  <c r="H63" i="1"/>
  <c r="G63" i="1"/>
  <c r="C74" i="1"/>
  <c r="C63" i="1" s="1"/>
  <c r="D74" i="1"/>
  <c r="D75" i="1"/>
  <c r="C11" i="1" l="1"/>
  <c r="H77" i="1" l="1"/>
  <c r="F57" i="1" l="1"/>
  <c r="F17" i="1"/>
  <c r="F102" i="1" l="1"/>
  <c r="F52" i="1" l="1"/>
  <c r="J76" i="1" l="1"/>
  <c r="I76" i="1"/>
  <c r="H76" i="1"/>
  <c r="G76" i="1"/>
  <c r="F76" i="1"/>
  <c r="F83" i="1" l="1"/>
  <c r="D72" i="1"/>
  <c r="D73" i="1"/>
  <c r="D91" i="1" l="1"/>
  <c r="J26" i="1" l="1"/>
  <c r="H26" i="1"/>
  <c r="G26" i="1"/>
  <c r="F26" i="1"/>
  <c r="D35" i="1"/>
  <c r="I26" i="1"/>
  <c r="D11" i="1" l="1"/>
  <c r="F101" i="1" l="1"/>
  <c r="F64" i="1"/>
  <c r="F63" i="1" s="1"/>
  <c r="F50" i="1" l="1"/>
  <c r="F49" i="1"/>
  <c r="G16" i="1"/>
  <c r="J22" i="1"/>
  <c r="J23" i="1"/>
  <c r="C16" i="1"/>
  <c r="H16" i="1"/>
  <c r="I16" i="1"/>
  <c r="F16" i="1"/>
  <c r="J16" i="1" l="1"/>
  <c r="C27" i="1"/>
  <c r="C26" i="1" s="1"/>
  <c r="D20" i="1"/>
  <c r="D21" i="1"/>
  <c r="D22" i="1"/>
  <c r="D23" i="1"/>
  <c r="D24" i="1"/>
  <c r="D102" i="1" l="1"/>
  <c r="D103" i="1"/>
  <c r="D104" i="1"/>
  <c r="D101" i="1"/>
  <c r="C40" i="1" l="1"/>
  <c r="G40" i="1"/>
  <c r="H40" i="1"/>
  <c r="I40" i="1"/>
  <c r="J40" i="1"/>
  <c r="F40" i="1"/>
  <c r="D97" i="1" l="1"/>
  <c r="D98" i="1"/>
  <c r="D99" i="1"/>
  <c r="D100" i="1"/>
  <c r="D94" i="1"/>
  <c r="D95" i="1"/>
  <c r="D89" i="1"/>
  <c r="D90" i="1"/>
  <c r="D92" i="1"/>
  <c r="D87" i="1"/>
  <c r="D84" i="1"/>
  <c r="D85" i="1"/>
  <c r="D86" i="1"/>
  <c r="D83" i="1"/>
  <c r="D81" i="1"/>
  <c r="D82" i="1"/>
  <c r="D77" i="1"/>
  <c r="D78" i="1"/>
  <c r="D79" i="1"/>
  <c r="D64" i="1"/>
  <c r="D65" i="1"/>
  <c r="D66" i="1"/>
  <c r="D67" i="1"/>
  <c r="D68" i="1"/>
  <c r="D69" i="1"/>
  <c r="D70" i="1"/>
  <c r="D71" i="1"/>
  <c r="D62" i="1"/>
  <c r="D56" i="1"/>
  <c r="D57" i="1"/>
  <c r="D58" i="1"/>
  <c r="D60" i="1"/>
  <c r="D61" i="1"/>
  <c r="D52" i="1"/>
  <c r="D54" i="1"/>
  <c r="D55" i="1"/>
  <c r="D49" i="1"/>
  <c r="D50" i="1"/>
  <c r="D51" i="1"/>
  <c r="D43" i="1"/>
  <c r="D45" i="1"/>
  <c r="D46" i="1"/>
  <c r="D48" i="1"/>
  <c r="D41" i="1"/>
  <c r="D42" i="1"/>
  <c r="D38" i="1"/>
  <c r="D39" i="1"/>
  <c r="D27" i="1"/>
  <c r="D28" i="1"/>
  <c r="D29" i="1"/>
  <c r="D30" i="1"/>
  <c r="D31" i="1"/>
  <c r="D32" i="1"/>
  <c r="D33" i="1"/>
  <c r="D34" i="1"/>
  <c r="D14" i="1"/>
  <c r="D15" i="1"/>
  <c r="D17" i="1"/>
  <c r="D18" i="1"/>
  <c r="D19" i="1"/>
  <c r="D25" i="1"/>
  <c r="D13" i="1"/>
  <c r="D9" i="1"/>
  <c r="D8" i="1"/>
  <c r="J96" i="1"/>
  <c r="I96" i="1"/>
  <c r="H96" i="1"/>
  <c r="G96" i="1"/>
  <c r="F96" i="1"/>
  <c r="C96" i="1"/>
  <c r="C59" i="1"/>
  <c r="J59" i="1"/>
  <c r="I59" i="1"/>
  <c r="H59" i="1"/>
  <c r="G59" i="1"/>
  <c r="F59" i="1"/>
  <c r="D40" i="1"/>
  <c r="I37" i="1"/>
  <c r="H37" i="1"/>
  <c r="G37" i="1"/>
  <c r="F37" i="1"/>
  <c r="C37" i="1"/>
  <c r="D59" i="1" l="1"/>
  <c r="D80" i="1"/>
  <c r="D36" i="1"/>
  <c r="D96" i="1"/>
  <c r="D37" i="1"/>
  <c r="D88" i="1"/>
  <c r="G12" i="1"/>
  <c r="H12" i="1"/>
  <c r="I12" i="1"/>
  <c r="D12" i="1" l="1"/>
  <c r="D16" i="1"/>
  <c r="C90" i="1"/>
  <c r="C88" i="1" s="1"/>
  <c r="C82" i="1"/>
  <c r="C13" i="1" l="1"/>
  <c r="C12" i="1" s="1"/>
  <c r="D26" i="1" l="1"/>
  <c r="J47" i="1"/>
  <c r="H47" i="1"/>
  <c r="I47" i="1"/>
  <c r="G47" i="1"/>
  <c r="F47" i="1"/>
  <c r="C47" i="1"/>
  <c r="D47" i="1" l="1"/>
  <c r="D63" i="1" l="1"/>
  <c r="C78" i="1"/>
  <c r="C76" i="1" s="1"/>
  <c r="D76" i="1" l="1"/>
  <c r="H10" i="1"/>
  <c r="I10" i="1"/>
  <c r="J10" i="1"/>
  <c r="G10" i="1"/>
  <c r="C10" i="1"/>
  <c r="F10" i="1" l="1"/>
  <c r="D10" i="1" l="1"/>
  <c r="H44" i="1"/>
  <c r="I44" i="1"/>
  <c r="G44" i="1"/>
  <c r="F44" i="1"/>
  <c r="C44" i="1"/>
  <c r="J44" i="1" l="1"/>
  <c r="D44" i="1" l="1"/>
  <c r="C86" i="1"/>
  <c r="J53" i="1" l="1"/>
  <c r="J106" i="1" s="1"/>
  <c r="F53" i="1"/>
  <c r="F106" i="1" s="1"/>
  <c r="G53" i="1"/>
  <c r="G106" i="1" s="1"/>
  <c r="H53" i="1" l="1"/>
  <c r="H106" i="1" s="1"/>
  <c r="I53" i="1"/>
  <c r="I106" i="1" s="1"/>
  <c r="D53" i="1" l="1"/>
  <c r="D106" i="1" s="1"/>
  <c r="C53" i="1"/>
  <c r="C106" i="1" s="1"/>
</calcChain>
</file>

<file path=xl/sharedStrings.xml><?xml version="1.0" encoding="utf-8"?>
<sst xmlns="http://schemas.openxmlformats.org/spreadsheetml/2006/main" count="325" uniqueCount="218">
  <si>
    <t>Lp.</t>
  </si>
  <si>
    <t>Zadanie</t>
  </si>
  <si>
    <t>Okres realizacji</t>
  </si>
  <si>
    <t>1.</t>
  </si>
  <si>
    <t>Długość w km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</si>
  <si>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</si>
  <si>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</si>
  <si>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</si>
  <si>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</si>
  <si>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</si>
  <si>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</si>
  <si>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</si>
  <si>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</si>
  <si>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</si>
  <si>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</si>
  <si>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</si>
  <si>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</si>
  <si>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</si>
  <si>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</si>
  <si>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</si>
  <si>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</si>
  <si>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19.</t>
  </si>
  <si>
    <t>20.</t>
  </si>
  <si>
    <t>21.</t>
  </si>
  <si>
    <t>22.</t>
  </si>
  <si>
    <t>23.</t>
  </si>
  <si>
    <t>24.</t>
  </si>
  <si>
    <t>Budowa dróg gminnych w Szwajcarii oraz ul. Studzienicznej</t>
  </si>
  <si>
    <t>Budowa dróg gminnych w Dąbrówce</t>
  </si>
  <si>
    <t>Koszt realizacji (PLN)</t>
  </si>
  <si>
    <t>a)</t>
  </si>
  <si>
    <t>b)</t>
  </si>
  <si>
    <t>c)</t>
  </si>
  <si>
    <t>d)</t>
  </si>
  <si>
    <t>e)</t>
  </si>
  <si>
    <t>f)</t>
  </si>
  <si>
    <t>g)</t>
  </si>
  <si>
    <t>h)</t>
  </si>
  <si>
    <t>ul. Wylotowa</t>
  </si>
  <si>
    <t>Budowa ul. na os Piastowskie I, w tym:</t>
  </si>
  <si>
    <t>Budowa ulic na os. Powstańców Wielkopolskich, w tym:</t>
  </si>
  <si>
    <t>ul. Ułanów Grochowskich</t>
  </si>
  <si>
    <t>ul. Bohaterów</t>
  </si>
  <si>
    <t>Budowa ulic na os. Kolejowym, w tym:</t>
  </si>
  <si>
    <t>Budowa ul. na os Piastowskie II, w tym:</t>
  </si>
  <si>
    <t>25.</t>
  </si>
  <si>
    <t>26.</t>
  </si>
  <si>
    <t>Ulice objęte miejscowym planem zagospodarowania przestrzennego ulicy Stanisława Staniszewskiego w Suwałkach, w tym:</t>
  </si>
  <si>
    <t>Brak dokumentacji projektowej.</t>
  </si>
  <si>
    <t>28.</t>
  </si>
  <si>
    <t>29.</t>
  </si>
  <si>
    <t>30.</t>
  </si>
  <si>
    <t>32.</t>
  </si>
  <si>
    <t>33.</t>
  </si>
  <si>
    <t>-</t>
  </si>
  <si>
    <t>27.</t>
  </si>
  <si>
    <t>31.</t>
  </si>
  <si>
    <t>(PROJEKT)</t>
  </si>
  <si>
    <t>Planowana realizacja w poszczególnych latach</t>
  </si>
  <si>
    <t>Budowa drogi od ul. Północnej do firmy Stolar</t>
  </si>
  <si>
    <t>Przebudowa ulicy Piaskowej</t>
  </si>
  <si>
    <t xml:space="preserve">Budowa dróg gminnych- ul. Sianożęć </t>
  </si>
  <si>
    <t>ul. Reymonta od zjazdu z ulicy Szpitalnej do skrzyżowania z ulicą Szpitalną- Krzywólka o dł. 860 m.</t>
  </si>
  <si>
    <t>ul. Reymonta od końca asfaltu do zjazdu z ulicy Szpitalnej o dł. 770 m.</t>
  </si>
  <si>
    <t>Budowa ulic zlokalizowanych w rejonie  ulicy Zastawie, w tym:</t>
  </si>
  <si>
    <t>Ogółem :</t>
  </si>
  <si>
    <t>Budowa drogi od ulicy Bakałarzewskiej do ul. Zastawie (tj. ulica Bałtycka i Targowa o łącznej dł. 876,05 m) z połączeniem ul. Grunwaldzkiej (ul. Bazarowa o dł. 257,73 m)</t>
  </si>
  <si>
    <t>ul. Krzywólka za obwodnicą Suwałk</t>
  </si>
  <si>
    <t>Budowa ulic zlokalizowanych w rejonie  ulic: Zastawie, Powstańców Wielkopolskich, Lotnicza, w tym:</t>
  </si>
  <si>
    <t>ul. 7 KDW</t>
  </si>
  <si>
    <t>ul. 31 KD (przedłużenie ulicy Partyzantów)</t>
  </si>
  <si>
    <t>ul. 32 KD (przedłużenie ulicy Kosynierów)</t>
  </si>
  <si>
    <t>ul. 33 KD (przedłużenie ulicy Kosynierów)</t>
  </si>
  <si>
    <t>ul. 34 KD (ulica Husarii)</t>
  </si>
  <si>
    <t>ul. 9 KD (ul. Jana Kochanowskiego)</t>
  </si>
  <si>
    <t>ul. 27 KD (ul. Czesława Miłosza)</t>
  </si>
  <si>
    <t>ul. 14 KDW (ul. Bolesława Prusa)</t>
  </si>
  <si>
    <t>ul. 24 KDW (ul. Juliusza Słowackiego)</t>
  </si>
  <si>
    <t>ul. 25 KDW (ul. Stanisława Wyspiańskiego)</t>
  </si>
  <si>
    <t>ul. 26 KDW (ul. Bolesława Prusa)</t>
  </si>
  <si>
    <t>ul. 29 KDW (ul. Zbigniewa Herberta)</t>
  </si>
  <si>
    <t>ul. 3 KD (ul. Czesława Miłosza i Wisławy Szymborskiej)</t>
  </si>
  <si>
    <t>ul. B. Chrobrego (od ul. Grunwaldzkiej do ul. Traktorzystów)</t>
  </si>
  <si>
    <t>sięgacz ulicy Jagiełły między ul. Mieszka I a byłą bocznicą kolejową (19KCp)</t>
  </si>
  <si>
    <t>Budowa drogi z parkingami w kwartale ulic Kościuszki, Waryńskiego, Noniewicza, Wigierska w Suwałkach- III Etap (4KD-P/ZP).</t>
  </si>
  <si>
    <t>Budowa drogi z parkingami w kwartale ulic Kościuszki, Waryńskiego, Noniewicza, Wigierska w Suwałkach- IV Etap (5KD-P/ZP)</t>
  </si>
  <si>
    <t>przedłużenie ulicy Sobieskiego pomiędzy ul. Filipowską a ul. Grunwaldzką (17KD)- dł. 120 m</t>
  </si>
  <si>
    <t>sięgacz 21 KDW od ulicy 9KD- dł. 120m</t>
  </si>
  <si>
    <t>ul. Bolesława Śmiałego z sięgaczem (13KD)</t>
  </si>
  <si>
    <t>Drogi lokalne do firm i przedsiębiorstw w strefie przemysłowej przy ul. Wojska Polskiego, w tym:</t>
  </si>
  <si>
    <t>pozostałe ulice 5KDW o łącznej długości ok. 890 m</t>
  </si>
  <si>
    <t>II etap - o długości około 1600 m</t>
  </si>
  <si>
    <t>Budowa dróg dojazdowych z parkingami w kwartale między ulicami: Kościuszki, Dwernickiego, Noniewicza, Chłodna wraz z budową parkingu (przedłużenie ulicy Muzycznej).</t>
  </si>
  <si>
    <t>Etap I - odcinek ul. Wojska Polskiego II od ronda do firmy Malow, tj. od 0+044 do km 0+248 o dł. ok. 210 m</t>
  </si>
  <si>
    <t>sięgacz od Filipowskiej (zlokalizowany między terenem 34MN a 35MN)- dł. 110 m</t>
  </si>
  <si>
    <t>ulice dojazdowe od ulicy Zastawie i Bałtyckiej do osiedla domów zlokalizowanych w kierunku ulicy Grunwaldzkiej, w tym:</t>
  </si>
  <si>
    <t>ul. T. Lutostańskiego</t>
  </si>
  <si>
    <t>ul. Bolesława Krzywoustego (16KD)</t>
  </si>
  <si>
    <t>sięgacz ul. W. Jagiełły pomiędzy ul. Grunwaldzką a ul. Filipowską (dawna ul.23 Października) (18 KD)</t>
  </si>
  <si>
    <t>Budowa ulicy W. Reymonta, w tym:</t>
  </si>
  <si>
    <t>Budowa ul. Romana Dmowskiego</t>
  </si>
  <si>
    <t xml:space="preserve">Etap II - odcinek ul. Wojska Polskiego od ok 0+304 do km 1+092 (od ronda do Dubowa I) </t>
  </si>
  <si>
    <t>ul. 35 KD (ul. Rycerska)</t>
  </si>
  <si>
    <t>ul. 29 KD (ul. Hetmańska)</t>
  </si>
  <si>
    <t>ul. 30 KD (ul. Hetmańska)</t>
  </si>
  <si>
    <t>Budowa ulicy ul. Ks. St. Szczęsnowicza</t>
  </si>
  <si>
    <t>Budowa ul. Ks. Jerzego Popiełuszki</t>
  </si>
  <si>
    <t>Przebudowa ulicy 26 KD w rejonie ulic: Poznańskiej i Bydgoskiej</t>
  </si>
  <si>
    <t>Budowa ulicy Olsztyńskiej</t>
  </si>
  <si>
    <t>po 2023</t>
  </si>
  <si>
    <t>18.</t>
  </si>
  <si>
    <t>Budowa ulicy Sopockiej</t>
  </si>
  <si>
    <t>2023-2024</t>
  </si>
  <si>
    <t>Brak aktualnej dokumentacji projektowej.</t>
  </si>
  <si>
    <t xml:space="preserve">Ulica Filipowska, w tym: </t>
  </si>
  <si>
    <t>2022-2024</t>
  </si>
  <si>
    <t>Budowa ulicy Krzywólka, w tym:</t>
  </si>
  <si>
    <t>2021-2024</t>
  </si>
  <si>
    <t>2021-2023</t>
  </si>
  <si>
    <t>Przebudowa ulicy Majora Hubala, w tym:</t>
  </si>
  <si>
    <t>od firmy Track Tec do ul. Leśnej</t>
  </si>
  <si>
    <t>ul. Zastawie (od tzw."osiedla Bieryły" do granic administracyjnych miasta)</t>
  </si>
  <si>
    <t>Budowa sięgacza ulicy Bakałarzewskiej (przy zakładzie stolarskim)</t>
  </si>
  <si>
    <t>Program budowy nawierzchni ulic lokalnych w Suwałkach w latach 2020 - 2023.</t>
  </si>
  <si>
    <t>ul. Francuska (2KD)</t>
  </si>
  <si>
    <t>ul. Włoska (6 KDW)</t>
  </si>
  <si>
    <t>ul. Chorwacka (1 KD)</t>
  </si>
  <si>
    <t>Budowa ul. A. Wajdy - II etap</t>
  </si>
  <si>
    <t>Przebudowa ul. L. M. Paca</t>
  </si>
  <si>
    <t>Przebudowa ul. Franciszkańskiej na odcinku od ul. Daszyńskiego do ul. Szpitalnej</t>
  </si>
  <si>
    <t>Przebudowa ul. Powstańców Wielkopolskich</t>
  </si>
  <si>
    <t>ul. Portugalska (5KDW)</t>
  </si>
  <si>
    <t>ul. Grecka (5KDW)</t>
  </si>
  <si>
    <t>ul. Czeska (4 KDW)</t>
  </si>
  <si>
    <t>ul. Węgierska (6KDW)</t>
  </si>
  <si>
    <t>2020-2025</t>
  </si>
  <si>
    <t>2020-2021</t>
  </si>
  <si>
    <t>Opracowana dokumentacja projektowa w kwietniu 2018 r. Wydane pozwolenie na budowę z dnia 09.04.2019 r. (nr 94/2019, znak: AGP.6740.62.2019.IG).</t>
  </si>
  <si>
    <t>ul. Hiszpańska (5KDW i cz. 6KDW)</t>
  </si>
  <si>
    <t xml:space="preserve">Opracowana dokumentacja projektowa w grudniu 2018 r. Wydana decyzja ZRiD w dniu 25.05.2020 r. (nr 4/2020, znak: AGP.6740.158.2020.SZ). </t>
  </si>
  <si>
    <t>i)</t>
  </si>
  <si>
    <t>ul. 36 KD (przedłużenie ulic Powstańców Śląskich i 41 Pułku Piechoty)</t>
  </si>
  <si>
    <t>ul. 16 KD (przedłużenie ulicy Kawaleryjskiej)</t>
  </si>
  <si>
    <t>2023 i po 2023</t>
  </si>
  <si>
    <t xml:space="preserve">Realizacja inwestycji uwarunkowana budową obiektu Bricomarche. </t>
  </si>
  <si>
    <t>Budowa drogi dojazdowej od ul. Noniewicza z parkingami i infrastrukturą w kwartale pomiędzy ulicami: Kościuszki, Wigierska, Noniewicza, rz. Czarna Hańcza (parking przy żłobku miejskim)</t>
  </si>
  <si>
    <t>Etap III - odcinek ul. Wojska Polskiego od 0+248 do ul. Turkusowej</t>
  </si>
  <si>
    <t>Zadanie zrealizowane przy wsparciu z Funduszu Dróg Samorządowych.</t>
  </si>
  <si>
    <t>Brak dokumentacji projektowej. Budowa drogi uzależniona od pozyskania w formie darowizny gruntów niezbędnych do budowy drogi (droga wewnętrzna).</t>
  </si>
  <si>
    <t>j)</t>
  </si>
  <si>
    <t xml:space="preserve">ul. 11 KD (ul. J. Brzechwy) </t>
  </si>
  <si>
    <t>k)</t>
  </si>
  <si>
    <t>ul. 13 KDW (ul. H. Sienkiewicza)</t>
  </si>
  <si>
    <t>ul. Lazurowa (5KDW) dł. ok. 500 m</t>
  </si>
  <si>
    <t>Brak dokumentacji technicznej. Możliwe przyspieszenie realizacji zadania w przypadku pozyskania środków w ramach Rządowego Funduszu Rozwoju Dróg.</t>
  </si>
  <si>
    <t>Zrealizowane w 2020 roku.</t>
  </si>
  <si>
    <t>Dokumentacja projektowa ulic: Bałtyckiej, Targowej i Bazarowej opracowana w 2017 roku. Możliwe przyspieszenie realizacji zadania w przypadku pozyskania dofinasowania z Rządowego Funduszu Rozwoju Dróg.</t>
  </si>
  <si>
    <t>2020-2023</t>
  </si>
  <si>
    <t>W dniu 23.03.2018 r. zostało podpisane porozumienie z inwestorem prywatnym, który w latach 2019-2021 wykona dwa fragmenty tej ulicy w ramach realizacji osiedla mieszkaniowego. Opracowana została dokumentacja techniczna. Wydana decyzja ZRiD nr 3/2019 w dniu 10.04.2019 r.  znak: AGP.6740.81.2019.EŁ.</t>
  </si>
  <si>
    <t>Możliwe przyspieszenie budowy w przypadku pozyskania środków z Rządowego Funduszu Rozwoju Dróg. Opracowana dokumentacja techniczna.</t>
  </si>
  <si>
    <t>Dokumentacja projektowa opracowana we wrześniu 2014 roku. Realizacja na podstawie pozwolenia na budowę z 08.10.2015 r. (decyzja nr 216/2015, znak: AGP.6740. 216.2015.EW- ważność do dnia 10.08.2021 r.).</t>
  </si>
  <si>
    <t>Stopień przygotowania do realizacji, w tym: decyzja zezwalająca na realizację inwestycji drogowej/ pozwolenie na budowę</t>
  </si>
  <si>
    <t>l)</t>
  </si>
  <si>
    <t>ul. 4 KD - do ul. S.Staniszewskiego</t>
  </si>
  <si>
    <t>Fragment ul. 7KD zrealizuje inwestor prywatny wraz z budową nowego osiedla. Wydana decyzja ZRiD w dniu 20.08.2020 r. nr 5/2020, znak: AGP.6740.323.2020.SZ.</t>
  </si>
  <si>
    <t>Wyłoniono wykonawcę dokumentacji projektowej.  Możliwe przyspieszenie realizacji zadania w przypadku pozyskania dofinasowania z Rządowego Funduszu Rozwoju Dróg.</t>
  </si>
  <si>
    <t>Wydana decyzja ZRiD w dniu 10.01.2018 r. (nr 1/2018, znak: AGP.6740.364.2017.EW.EŁ). Pozyskano środki z Rządowego Funduszu Rozwoju Dróg. Budowa drogi współfinansowana przez Gminę Suwałki.</t>
  </si>
  <si>
    <t>Brak aktualnej dokumentacji technicznej.</t>
  </si>
  <si>
    <t xml:space="preserve">Dokumentacja projektowa opracowana w kwietniu 2016 r. I etap ostał zrealizowany w ramach Funduszu Dróg Samorządowych w 2020 roku. II etap uzależniony od terminu zakończenia realizacji przez inwestora prywatnego budynków wielorodzinnych. </t>
  </si>
  <si>
    <t>2020-2024</t>
  </si>
  <si>
    <t xml:space="preserve">Opracowana dokumentacja projektowa we wrześniu 2017 r. oraz wydana decyzja ZRiD (nr 2/2017, znak: AGP.6740.103.2017. EW). Realizacja uzależniona od budowy bocznicy przez Tanne sp. z o.o. </t>
  </si>
  <si>
    <t>od drogi wojewódzkiej (dawna DK Nr 8) do firmy Track Tec</t>
  </si>
  <si>
    <t>ul. 3 KD (ul. W. Szymborskiej)</t>
  </si>
  <si>
    <t xml:space="preserve">Brak dokumentacji technicznej. </t>
  </si>
  <si>
    <t>Dokumentacja projektowa opracowana w maju 2021 roku. Możliwe przyspieszenie budowy w przypadku pozyskania środków z Rządowego Funduszu Rozwoju Dróg.  W tym łączne środki finansowe PWiK 1,6 mln zł za wodociąg, kanalizację sanitarną i kan. deszczową.</t>
  </si>
  <si>
    <t xml:space="preserve">Dokumentacja projektowa opracowana w maju 2021 roku. W tym środki finansowe PWiK 1,1 mln zł za wodociąg, kanalizację sanitarną i kan. deszczową. Możliwe przyspieszenie budowy w przypadku pozyskania środków z Rządowego Funduszu Rozwoju Dróg. </t>
  </si>
  <si>
    <t>Możliwe przyspieszenie budowy w przypadku pozyskania środków z Rządowego Funduszu Rozwoju Dróg. W tym kanalizacja deszczowa, sanitarna i wodociąg w łącznej kwocie 730 tys. zł do ew. sfinansowana przez PWiK.</t>
  </si>
  <si>
    <t>Plus PWiK za kanalizację deszczową, sanitarną i wodociąg w łącznej kwocie 200 tys. zł. Aktualna decyzja zezwalająca na realizację inwestycji drogowej z dnia 11.07.2017 r. (nr 5/2017, znak: AGP.6740.170.2017.EW)</t>
  </si>
  <si>
    <t>Plus PWiK za kanalizację deszczową, sanitarną i wodociąg w łącznej kwocie 1,2 mln zł. Aktualna decyzja zezwalająca na realizację inwestycji drogowej z dnia 11.07.2017 r. (nr 5/2017, znak: AGP.6740.170.2017.EW)</t>
  </si>
  <si>
    <t xml:space="preserve">Opracowana została dokumentacja projektowa oraz uzyskana decyzji ZRiD z 28.05.2018 r. (nr 150/2018, znak: AGP.6740.149. 2018.GM). W tym kanalizacja deszczowa, sanitarna i wodociąg 110 tys. zł do ew. sfinansowania przez PWiK. </t>
  </si>
  <si>
    <t>Dokumentacja projektowa opracowana w kwietniu 2018 r. Realizacja na podstawie decyzji z 20.11.2019r. (nr 476/2019, znak: AGP.6740.467.2018.MM). Możliwe przyspieszenie budowy w przypadku pozyskania środków z Rządowego Funduszu Rozwoju Dróg. W tym kanalizacja deszczowa, sanitarna i wodociąg w łącznej kwocie 160 tys. zł do ew. sfinansowania przez PWiK.</t>
  </si>
  <si>
    <t>Opracowana dokumentacja w kwietniu 2018 r. Realizacja na podstawie decyzji z dnia 20.11.2019 r. (nr 474/2019, znak: AGP.6740.468.2019.MM). W tym kanalizacja deszczowa, sanitarna i wodociąg w łącznej kwocie 95 tys. zł do ew. sfinansowania przez PWiK.</t>
  </si>
  <si>
    <t xml:space="preserve">W tym roboty sanitarne w łącznej kwocie 2 mln zł do sfinansowania przez PWiK. </t>
  </si>
  <si>
    <t>Zadanie realizowane przy wsparciu Funduszu Dróg Samorządowych. Plus kanalizacja sanitarna i wodociąg w łącznej kwocie 534 tys. zł finansowane przez PWiK.</t>
  </si>
  <si>
    <t xml:space="preserve">Realizacja w 2020 roku z udziałem środków z Funduszu Dróg Samorządowych. W tym kanalizacja sanitarna, wodociąg, tłocznia ścieków i kolektor tłoczny w łącznej kwocie 823 tys. zł sfinansowane przez PWiK w 2020 r.  </t>
  </si>
  <si>
    <t>Plus PWiK za kanalizację deszczową, sanitarną i wodociąg w łącznej kwocie 287 tys. zł. Aktualna decyzja zezwalająca na realizację inwestycji drogowej z dnia 11.07.2017 r. (nr 5/2017, znak: AGP.6740.170.2017.EW)</t>
  </si>
  <si>
    <t xml:space="preserve">Wykonano w 2020 roku ze środków z Funduszu Dróg Samorządowych. W tym kanalizacja deszczowa i sanit. w łącznej kwocie 176 tys. zł finansowane przez Miasto Suwałki. </t>
  </si>
  <si>
    <t xml:space="preserve">Wykonano w 2020 roku ze środków z Funduszu Dróg Samorzadowych. W tym kanalizacja deszczowa i wodociąg w łącznej kwocie 189 tys. zł finansowane przez Miasto Suwałki. </t>
  </si>
  <si>
    <t xml:space="preserve">Realizacja w 2020 roku ze środków Funduszu Dróg Samorządowych. W tym sieć kanalizacji deszczowej, sanitarnej i wodciąg w łącznej kwocie 1.1 mln zł (finansowane przez Miasto Suwałki). </t>
  </si>
  <si>
    <t>Dokumentacja projektowa opracowana w maju 2021 roku. Możliwe przyspieszenie budowy w przypadku pozyskania środków z Rządowego Funduszu Rozwoju Dróg.  W tym łączne środki finansowe PWiK 740 tys. zł za wodociąg, kanalizację sanitarną i kan. deszczową.</t>
  </si>
  <si>
    <t xml:space="preserve">Dokumentacja projektowa opracowana w maju 2021 roku. W tym środki finansowe PWiK 2.5 mln zł za wodociąg, kanalizację sanitarną i kan. deszczową. Możliwe przyspieszenie budowy w przypadku pozyskania środków z Rządowego Funduszu Rozwoju Dróg. </t>
  </si>
  <si>
    <t>Budowa ulicy G pomiędzy ul. Północną i ul. Wylotową (z fragmentem ul. Wylotowej)</t>
  </si>
  <si>
    <t>W tym kanalizacja deszczowa w kwocie 290 tys. zł do ew. sfinansowania przez PWiK. Aktualna decyzja zezwalająca na realizację inwestycji drogowej z dnia 11.07.2017 r. (nr 5/2017, znak: AGP.6740.170.2017.EW). Na podstawie ww. decyzji PWiK wykonał sieć wodociągową i sanitarną.</t>
  </si>
  <si>
    <t>Plus PWiK za kanalizację deszczową w kwocie 230 tys. zł. Aktualna decyzja zezwalająca na realizację inwestycji drogowej z dnia 11.07.2017 r. (nr 5/2017, znak: AGP.6740.170.2017.EW) Na podstawie ww. decyzji PWiK wykonał sieć wodociągową i sanitarną.</t>
  </si>
  <si>
    <t>Plus PWiK za kanalizację deszczową w kwocie 470 tys. zł. Aktualna decyzja zezwalająca na realizację inwestycji drogowej z dnia 11.07.2017 r. (nr 5/2017, znak: AGP.6740.170.2017.EW) Na podstawie ww. decyzji PWiK wykonał sieć wodociągową i sanitarną.</t>
  </si>
  <si>
    <t>Plus PWiK za kanalizację deszczową w kwocie 754 tys. zł. Aktualna decyzja zezwalająca na realizację inwestycji drogowej z dnia 11.07.2017 r. (nr 5/2017, znak: AGP.6740.170.2017.EW) Na podstawie ww. decyzji PWiK wykonał sieć wodociągową i sanitarną.</t>
  </si>
  <si>
    <t>W tym kan. deszczowa w kwocie 172 tys. zł finansowane przez Miasto Suwałki. Możliwe przyspieszenie budowy w przypadku pozyskania środków z Rządowego Funduszu Rozwoju Dróg. Sieć wodociągowa i sanitarna wykonane przez PWiK na podstawie ZRiD.</t>
  </si>
  <si>
    <t>plus PWiK za kan. deszcz. 99 tys. zł. Wodociąg i sieć sanitarna wykonana w 2016 roku przez PWiK na podstawie ZRiD.</t>
  </si>
  <si>
    <t>plus PWiK za kan. deszcz. 107 tys. zł. Wodociąg i sieć sanitarna wykonana w 2016 roku przez PWiK na podstawie ZRiD.</t>
  </si>
  <si>
    <r>
      <t xml:space="preserve">W tym kan. deszczowa w kwocie 231 tys. zł finansowane przez Miasto Suwałki. </t>
    </r>
    <r>
      <rPr>
        <sz val="11"/>
        <color theme="1"/>
        <rFont val="Calibri"/>
        <family val="2"/>
        <scheme val="minor"/>
      </rPr>
      <t>Możliwe przyspieszenie budowy w przypadku pozyskania środków z Rządowego Funduszu Rozwoju Dróg. Sieć wodociągowa i sanitarna wykonane przez PWiK na podstawie ZRiD.</t>
    </r>
  </si>
  <si>
    <t>Budowa ulicy na odcinku od firmy Recman do ul. Wojska Polskiego II (8KD)</t>
  </si>
  <si>
    <t>Budowa ulicy na odcinku od firmy Recman do ul. Wojska Polskiego II (wzdłuż lasu)</t>
  </si>
  <si>
    <t xml:space="preserve">Brak dokumentacji projektowej. </t>
  </si>
  <si>
    <t>ul. Morska (5KDW) dł. ok. 260 m</t>
  </si>
  <si>
    <t>ulice osiedlowe od ulicy Zastawie w kierunku za byłą bocznicą kolejową, w tym:</t>
  </si>
  <si>
    <t>W tym kanalizacja deszczowa w kwocie 280 tys. zł finansowane przez Miasto Suwałki. Aktualna decyzja zezwalająca na realizację inwestycji drogowej z dnia 11.07.2017 r. (nr 5/2017, znak: AGP.6740.170.2017.EW) PWiK sfinansował sieć wodociągową i sanitarną w kwocie 266,2 tyś zł (odkupił od inwestora prywatnego).</t>
  </si>
  <si>
    <t>sięgacze ul. Mieszka I (8KD) o łącznej dł. ok. 177 m</t>
  </si>
  <si>
    <t xml:space="preserve">Pozostaje do wykonania odcinek o długości około 640 m. W latach 2019-2021 wykonano odcinek o długości około 780 m.  </t>
  </si>
  <si>
    <t>Zrealizowano w 2020 roku ze środków Funduszu Dróg Samorządowych. W tym kanalizacja deszczowa, sanitarna, wodociąg w łącznej kwocie 1.470 mln zł finansowane przez Miasto Suwałki. PWiK wykonał sieć wodociągową i sanitarną w kwocie 1.336 mln zł.</t>
  </si>
  <si>
    <t>W tym kan. deszczowa w kwocie 511 tys. zł finansowana przez Miasto Suwałki. Możliwe przyspieszenie budowy w przypadku pozyskania środków z Rządowego Funduszu Rozwoju Dróg. Sieć wodociągowa i sanitarna wykonane przez PWiK za kwotę 196 tyś zł.</t>
  </si>
  <si>
    <t>Budowa ulicy 7KD przy ulicy Sikorskiego</t>
  </si>
  <si>
    <t>Budowa drogi z parkingami w kwartale ul. Kościuszki, Waryńskiego, Noniewicza, Wigierska w Suwałkach- II Etap (4KD, 7KP) wraz z drogą 6KCp (dł. ok. 35m).</t>
  </si>
  <si>
    <t>Budowa drogi z parkingami w kwartale ulic Kościuszki, Waryńskiego,Noniewicza, Wigierska w Suwałkach- I Etap (10KP, 6KPJ) wraz z drogą 3KD (dł. ok 50m).</t>
  </si>
  <si>
    <t>czerwiec 2021 r.</t>
  </si>
  <si>
    <t>Opracowana została kumentacja projektowa. W dniu 01.04.2021 r. została wydana decyzja ZRID. Realizacja uwarunkowana pozyskaniem środków z Rządowego Funduszu Rozwoju Dróg.</t>
  </si>
  <si>
    <t>Plus PWiK za kanalizację deszczową, sanitarną i wodociąg w łącznej kwocie 400 tys. zł. Aktualna decyzja zezwalająca na realizację inwestycji drogowej z dnia 11.07.2017 r. (nr 5/2017, znak: AGP.6740.170.2017.EW)</t>
  </si>
  <si>
    <t>Przebudowa ulicy Świerkowej (odcinek od ul. Pułaskiego do ul. Nowomiejskiej)</t>
  </si>
  <si>
    <t>Koszt dostawy materiałów zakupionych przez ZDiZ w I etapie to 23 tys zł i SSM 47 tys zł. II etap realizowany przy wsparciu środków z Rządowego Funduszu Rozwoju Dróg (368 tys zł) Środki finansowe SSM w 2021 r. w kwocie 110 tys zł.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</si>
</sst>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z_ł_-;\-* #,##0.00\ _z_ł_-;_-* &quot;-&quot;??\ _z_ł_-;_-@_-"/>
    <numFmt numFmtId="164" formatCode="#,##0.0"/>
    <numFmt numFmtId="165" formatCode="0.0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4" fillId="0" borderId="0" applyFont="0" applyFill="0" applyBorder="0" applyAlignment="0" applyProtection="0"/>
  </cellStyleXfs>
  <cellXfs count="322">
    <xf numFmtId="0" fontId="0" fillId="0" borderId="0" xfId="0"/>
    <xf numFmtId="0" fontId="0" fillId="0" borderId="0" xfId="0" applyAlignment="1">
      <alignment wrapText="1"/>
    </xf>
    <xf numFmtId="0" fontId="38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vertical="top" wrapText="1"/>
    </xf>
    <xf numFmtId="0" fontId="0" fillId="0" borderId="8" xfId="0" applyBorder="1"/>
    <xf numFmtId="0" fontId="39" fillId="0" borderId="0" xfId="0" applyFont="1"/>
    <xf numFmtId="0" fontId="40" fillId="0" borderId="6" xfId="0" applyFont="1" applyBorder="1" applyAlignment="1">
      <alignment vertical="top" wrapText="1"/>
    </xf>
    <xf numFmtId="0" fontId="0" fillId="0" borderId="0" xfId="0" applyBorder="1"/>
    <xf numFmtId="0" fontId="37" fillId="3" borderId="9" xfId="0" applyFont="1" applyFill="1" applyBorder="1" applyAlignment="1">
      <alignment vertical="top" wrapText="1"/>
    </xf>
    <xf numFmtId="164" fontId="37" fillId="3" borderId="9" xfId="0" applyNumberFormat="1" applyFont="1" applyFill="1" applyBorder="1" applyAlignment="1">
      <alignment horizontal="right" vertical="top" wrapText="1"/>
    </xf>
    <xf numFmtId="0" fontId="37" fillId="0" borderId="1" xfId="0" applyFont="1" applyBorder="1" applyAlignment="1">
      <alignment horizontal="right" vertical="top" wrapText="1"/>
    </xf>
    <xf numFmtId="164" fontId="37" fillId="0" borderId="6" xfId="0" applyNumberFormat="1" applyFont="1" applyBorder="1" applyAlignment="1">
      <alignment horizontal="right" vertical="top" wrapText="1"/>
    </xf>
    <xf numFmtId="164" fontId="37" fillId="0" borderId="1" xfId="0" applyNumberFormat="1" applyFont="1" applyBorder="1" applyAlignment="1">
      <alignment horizontal="right" vertical="top" wrapText="1"/>
    </xf>
    <xf numFmtId="0" fontId="37" fillId="0" borderId="1" xfId="0" applyFont="1" applyBorder="1" applyAlignment="1">
      <alignment vertical="top" wrapText="1"/>
    </xf>
    <xf numFmtId="0" fontId="37" fillId="3" borderId="1" xfId="0" applyFont="1" applyFill="1" applyBorder="1" applyAlignment="1">
      <alignment vertical="top" wrapText="1"/>
    </xf>
    <xf numFmtId="164" fontId="37" fillId="3" borderId="1" xfId="0" applyNumberFormat="1" applyFont="1" applyFill="1" applyBorder="1" applyAlignment="1">
      <alignment horizontal="right" vertical="top" wrapText="1"/>
    </xf>
    <xf numFmtId="164" fontId="37" fillId="3" borderId="6" xfId="0" applyNumberFormat="1" applyFont="1" applyFill="1" applyBorder="1" applyAlignment="1">
      <alignment horizontal="right" vertical="top" wrapText="1"/>
    </xf>
    <xf numFmtId="2" fontId="37" fillId="3" borderId="1" xfId="0" applyNumberFormat="1" applyFont="1" applyFill="1" applyBorder="1" applyAlignment="1">
      <alignment vertical="top" wrapText="1"/>
    </xf>
    <xf numFmtId="164" fontId="37" fillId="3" borderId="2" xfId="0" applyNumberFormat="1" applyFont="1" applyFill="1" applyBorder="1" applyAlignment="1">
      <alignment horizontal="right" vertical="top" wrapText="1"/>
    </xf>
    <xf numFmtId="2" fontId="37" fillId="0" borderId="1" xfId="0" applyNumberFormat="1" applyFont="1" applyBorder="1" applyAlignment="1">
      <alignment vertical="top" wrapText="1"/>
    </xf>
    <xf numFmtId="2" fontId="37" fillId="0" borderId="2" xfId="0" applyNumberFormat="1" applyFont="1" applyBorder="1" applyAlignment="1">
      <alignment vertical="top" wrapText="1"/>
    </xf>
    <xf numFmtId="2" fontId="37" fillId="3" borderId="2" xfId="0" applyNumberFormat="1" applyFont="1" applyFill="1" applyBorder="1" applyAlignment="1">
      <alignment vertical="top" wrapText="1"/>
    </xf>
    <xf numFmtId="164" fontId="37" fillId="3" borderId="10" xfId="0" applyNumberFormat="1" applyFont="1" applyFill="1" applyBorder="1" applyAlignment="1">
      <alignment horizontal="right" vertical="top" wrapText="1"/>
    </xf>
    <xf numFmtId="164" fontId="37" fillId="0" borderId="2" xfId="0" applyNumberFormat="1" applyFont="1" applyFill="1" applyBorder="1" applyAlignment="1">
      <alignment vertical="top" wrapText="1"/>
    </xf>
    <xf numFmtId="0" fontId="38" fillId="0" borderId="0" xfId="0" applyFont="1" applyAlignment="1">
      <alignment horizontal="center"/>
    </xf>
    <xf numFmtId="0" fontId="0" fillId="0" borderId="6" xfId="0" applyBorder="1" applyAlignment="1">
      <alignment horizontal="left" vertical="top" wrapText="1"/>
    </xf>
    <xf numFmtId="0" fontId="38" fillId="0" borderId="20" xfId="0" applyFont="1" applyBorder="1" applyAlignment="1">
      <alignment horizontal="center" vertical="center" wrapText="1"/>
    </xf>
    <xf numFmtId="164" fontId="37" fillId="3" borderId="14" xfId="0" applyNumberFormat="1" applyFont="1" applyFill="1" applyBorder="1" applyAlignment="1">
      <alignment horizontal="right" vertical="top" wrapText="1"/>
    </xf>
    <xf numFmtId="164" fontId="37" fillId="0" borderId="22" xfId="0" applyNumberFormat="1" applyFont="1" applyBorder="1" applyAlignment="1">
      <alignment horizontal="right" vertical="top" wrapText="1"/>
    </xf>
    <xf numFmtId="164" fontId="37" fillId="3" borderId="22" xfId="0" applyNumberFormat="1" applyFont="1" applyFill="1" applyBorder="1" applyAlignment="1">
      <alignment horizontal="right" vertical="top" wrapText="1"/>
    </xf>
    <xf numFmtId="164" fontId="37" fillId="3" borderId="23" xfId="0" applyNumberFormat="1" applyFont="1" applyFill="1" applyBorder="1" applyAlignment="1">
      <alignment horizontal="right" vertical="top" wrapText="1"/>
    </xf>
    <xf numFmtId="0" fontId="0" fillId="0" borderId="17" xfId="0" applyBorder="1"/>
    <xf numFmtId="164" fontId="37" fillId="2" borderId="22" xfId="0" applyNumberFormat="1" applyFont="1" applyFill="1" applyBorder="1" applyAlignment="1">
      <alignment horizontal="right" vertical="top" wrapText="1"/>
    </xf>
    <xf numFmtId="164" fontId="37" fillId="2" borderId="1" xfId="0" applyNumberFormat="1" applyFont="1" applyFill="1" applyBorder="1" applyAlignment="1">
      <alignment horizontal="right" vertical="top" wrapText="1"/>
    </xf>
    <xf numFmtId="164" fontId="37" fillId="2" borderId="17" xfId="0" applyNumberFormat="1" applyFont="1" applyFill="1" applyBorder="1" applyAlignment="1">
      <alignment horizontal="right" vertical="top" wrapText="1"/>
    </xf>
    <xf numFmtId="2" fontId="37" fillId="2" borderId="1" xfId="0" applyNumberFormat="1" applyFont="1" applyFill="1" applyBorder="1" applyAlignment="1">
      <alignment vertical="top" wrapText="1"/>
    </xf>
    <xf numFmtId="0" fontId="42" fillId="3" borderId="1" xfId="0" applyFont="1" applyFill="1" applyBorder="1" applyAlignment="1">
      <alignment vertical="top" wrapText="1"/>
    </xf>
    <xf numFmtId="0" fontId="42" fillId="2" borderId="1" xfId="0" applyFont="1" applyFill="1" applyBorder="1" applyAlignment="1">
      <alignment vertical="top" wrapText="1"/>
    </xf>
    <xf numFmtId="164" fontId="37" fillId="2" borderId="6" xfId="0" applyNumberFormat="1" applyFont="1" applyFill="1" applyBorder="1" applyAlignment="1">
      <alignment horizontal="right" vertical="top" wrapText="1"/>
    </xf>
    <xf numFmtId="0" fontId="36" fillId="3" borderId="1" xfId="0" applyFont="1" applyFill="1" applyBorder="1" applyAlignment="1">
      <alignment vertical="top" wrapText="1"/>
    </xf>
    <xf numFmtId="0" fontId="0" fillId="0" borderId="0" xfId="0" applyAlignment="1">
      <alignment vertical="top"/>
    </xf>
    <xf numFmtId="164" fontId="37" fillId="0" borderId="1" xfId="0" applyNumberFormat="1" applyFont="1" applyFill="1" applyBorder="1" applyAlignment="1">
      <alignment vertical="top" wrapText="1"/>
    </xf>
    <xf numFmtId="164" fontId="37" fillId="0" borderId="1" xfId="0" applyNumberFormat="1" applyFont="1" applyFill="1" applyBorder="1" applyAlignment="1">
      <alignment horizontal="right" vertical="top" wrapText="1"/>
    </xf>
    <xf numFmtId="0" fontId="35" fillId="0" borderId="1" xfId="0" applyFont="1" applyBorder="1" applyAlignment="1">
      <alignment horizontal="right" vertical="top" wrapText="1"/>
    </xf>
    <xf numFmtId="0" fontId="35" fillId="2" borderId="1" xfId="0" applyFont="1" applyFill="1" applyBorder="1" applyAlignment="1">
      <alignment horizontal="right" vertical="top" wrapText="1"/>
    </xf>
    <xf numFmtId="164" fontId="37" fillId="0" borderId="22" xfId="0" applyNumberFormat="1" applyFont="1" applyFill="1" applyBorder="1" applyAlignment="1">
      <alignment horizontal="right" vertical="top" wrapText="1"/>
    </xf>
    <xf numFmtId="164" fontId="37" fillId="0" borderId="6" xfId="0" applyNumberFormat="1" applyFont="1" applyFill="1" applyBorder="1" applyAlignment="1">
      <alignment horizontal="right" vertical="top" wrapText="1"/>
    </xf>
    <xf numFmtId="2" fontId="37" fillId="3" borderId="3" xfId="0" applyNumberFormat="1" applyFont="1" applyFill="1" applyBorder="1" applyAlignment="1">
      <alignment vertical="top" wrapText="1"/>
    </xf>
    <xf numFmtId="164" fontId="37" fillId="3" borderId="11" xfId="0" applyNumberFormat="1" applyFont="1" applyFill="1" applyBorder="1" applyAlignment="1">
      <alignment horizontal="right" vertical="top" wrapText="1"/>
    </xf>
    <xf numFmtId="164" fontId="37" fillId="3" borderId="3" xfId="0" applyNumberFormat="1" applyFont="1" applyFill="1" applyBorder="1" applyAlignment="1">
      <alignment horizontal="right" vertical="top" wrapText="1"/>
    </xf>
    <xf numFmtId="3" fontId="37" fillId="3" borderId="1" xfId="0" applyNumberFormat="1" applyFont="1" applyFill="1" applyBorder="1" applyAlignment="1">
      <alignment vertical="top" wrapText="1"/>
    </xf>
    <xf numFmtId="2" fontId="37" fillId="3" borderId="18" xfId="0" applyNumberFormat="1" applyFont="1" applyFill="1" applyBorder="1" applyAlignment="1">
      <alignment vertical="top" wrapText="1"/>
    </xf>
    <xf numFmtId="164" fontId="37" fillId="2" borderId="2" xfId="0" applyNumberFormat="1" applyFont="1" applyFill="1" applyBorder="1" applyAlignment="1">
      <alignment horizontal="right" vertical="top" wrapText="1"/>
    </xf>
    <xf numFmtId="164" fontId="42" fillId="2" borderId="2" xfId="0" applyNumberFormat="1" applyFont="1" applyFill="1" applyBorder="1" applyAlignment="1">
      <alignment horizontal="right" vertical="top" wrapText="1"/>
    </xf>
    <xf numFmtId="164" fontId="42" fillId="2" borderId="16" xfId="0" applyNumberFormat="1" applyFont="1" applyFill="1" applyBorder="1" applyAlignment="1">
      <alignment horizontal="right" vertical="top" wrapText="1"/>
    </xf>
    <xf numFmtId="164" fontId="42" fillId="2" borderId="18" xfId="0" applyNumberFormat="1" applyFont="1" applyFill="1" applyBorder="1" applyAlignment="1">
      <alignment horizontal="right" vertical="top" wrapText="1"/>
    </xf>
    <xf numFmtId="0" fontId="33" fillId="2" borderId="1" xfId="0" applyFont="1" applyFill="1" applyBorder="1" applyAlignment="1">
      <alignment horizontal="right" vertical="top" wrapText="1"/>
    </xf>
    <xf numFmtId="0" fontId="33" fillId="3" borderId="1" xfId="0" applyFont="1" applyFill="1" applyBorder="1" applyAlignment="1">
      <alignment vertical="top" wrapText="1"/>
    </xf>
    <xf numFmtId="0" fontId="32" fillId="0" borderId="1" xfId="0" applyFont="1" applyFill="1" applyBorder="1" applyAlignment="1">
      <alignment horizontal="right" vertical="top" wrapText="1"/>
    </xf>
    <xf numFmtId="0" fontId="42" fillId="0" borderId="1" xfId="0" applyFont="1" applyFill="1" applyBorder="1" applyAlignment="1">
      <alignment vertical="top" wrapText="1"/>
    </xf>
    <xf numFmtId="2" fontId="42" fillId="0" borderId="1" xfId="0" applyNumberFormat="1" applyFont="1" applyFill="1" applyBorder="1" applyAlignment="1">
      <alignment vertical="top" wrapText="1"/>
    </xf>
    <xf numFmtId="164" fontId="42" fillId="0" borderId="22" xfId="0" applyNumberFormat="1" applyFont="1" applyFill="1" applyBorder="1" applyAlignment="1">
      <alignment horizontal="right" vertical="top" wrapText="1"/>
    </xf>
    <xf numFmtId="164" fontId="42" fillId="0" borderId="6" xfId="0" applyNumberFormat="1" applyFont="1" applyFill="1" applyBorder="1" applyAlignment="1">
      <alignment horizontal="right" vertical="top" wrapText="1"/>
    </xf>
    <xf numFmtId="164" fontId="42" fillId="0" borderId="1" xfId="0" applyNumberFormat="1" applyFont="1" applyFill="1" applyBorder="1" applyAlignment="1">
      <alignment horizontal="right" vertical="top" wrapText="1"/>
    </xf>
    <xf numFmtId="164" fontId="42" fillId="3" borderId="1" xfId="0" applyNumberFormat="1" applyFont="1" applyFill="1" applyBorder="1" applyAlignment="1">
      <alignment horizontal="right" vertical="top" wrapText="1"/>
    </xf>
    <xf numFmtId="164" fontId="42" fillId="0" borderId="1" xfId="0" applyNumberFormat="1" applyFont="1" applyBorder="1" applyAlignment="1">
      <alignment horizontal="right" vertical="top" wrapText="1"/>
    </xf>
    <xf numFmtId="0" fontId="38" fillId="0" borderId="0" xfId="0" applyFont="1" applyAlignment="1">
      <alignment horizontal="center"/>
    </xf>
    <xf numFmtId="164" fontId="42" fillId="2" borderId="1" xfId="0" applyNumberFormat="1" applyFont="1" applyFill="1" applyBorder="1" applyAlignment="1">
      <alignment horizontal="right" vertical="top" wrapText="1"/>
    </xf>
    <xf numFmtId="4" fontId="37" fillId="3" borderId="1" xfId="0" applyNumberFormat="1" applyFont="1" applyFill="1" applyBorder="1" applyAlignment="1">
      <alignment vertical="top" wrapText="1"/>
    </xf>
    <xf numFmtId="2" fontId="37" fillId="0" borderId="1" xfId="0" applyNumberFormat="1" applyFont="1" applyFill="1" applyBorder="1" applyAlignment="1">
      <alignment vertical="top" wrapText="1"/>
    </xf>
    <xf numFmtId="164" fontId="43" fillId="0" borderId="1" xfId="0" applyNumberFormat="1" applyFont="1" applyFill="1" applyBorder="1" applyAlignment="1">
      <alignment horizontal="right" vertical="top" wrapText="1"/>
    </xf>
    <xf numFmtId="0" fontId="30" fillId="0" borderId="1" xfId="0" applyFont="1" applyBorder="1" applyAlignment="1">
      <alignment horizontal="right" vertical="top" wrapText="1"/>
    </xf>
    <xf numFmtId="0" fontId="29" fillId="3" borderId="1" xfId="0" applyFont="1" applyFill="1" applyBorder="1" applyAlignment="1">
      <alignment vertical="top" wrapText="1"/>
    </xf>
    <xf numFmtId="164" fontId="37" fillId="2" borderId="10" xfId="0" applyNumberFormat="1" applyFont="1" applyFill="1" applyBorder="1" applyAlignment="1">
      <alignment horizontal="right" vertical="top" wrapText="1"/>
    </xf>
    <xf numFmtId="164" fontId="42" fillId="2" borderId="10" xfId="0" applyNumberFormat="1" applyFont="1" applyFill="1" applyBorder="1" applyAlignment="1">
      <alignment horizontal="right" vertical="top" wrapText="1"/>
    </xf>
    <xf numFmtId="0" fontId="29" fillId="2" borderId="1" xfId="0" applyFont="1" applyFill="1" applyBorder="1" applyAlignment="1">
      <alignment horizontal="right" vertical="top" wrapText="1"/>
    </xf>
    <xf numFmtId="2" fontId="0" fillId="0" borderId="0" xfId="0" applyNumberFormat="1" applyAlignment="1">
      <alignment vertical="top"/>
    </xf>
    <xf numFmtId="0" fontId="27" fillId="2" borderId="1" xfId="0" applyFont="1" applyFill="1" applyBorder="1" applyAlignment="1">
      <alignment vertical="top" wrapText="1"/>
    </xf>
    <xf numFmtId="0" fontId="27" fillId="0" borderId="2" xfId="0" applyFont="1" applyBorder="1" applyAlignment="1">
      <alignment vertical="top" wrapText="1"/>
    </xf>
    <xf numFmtId="0" fontId="27" fillId="0" borderId="1" xfId="0" applyFont="1" applyBorder="1" applyAlignment="1">
      <alignment vertical="top" wrapText="1"/>
    </xf>
    <xf numFmtId="0" fontId="26" fillId="0" borderId="2" xfId="0" applyFont="1" applyBorder="1" applyAlignment="1">
      <alignment vertical="top" wrapText="1"/>
    </xf>
    <xf numFmtId="0" fontId="25" fillId="0" borderId="1" xfId="0" applyFont="1" applyBorder="1" applyAlignment="1">
      <alignment vertical="top" wrapText="1"/>
    </xf>
    <xf numFmtId="0" fontId="38" fillId="0" borderId="10" xfId="0" applyFont="1" applyBorder="1" applyAlignment="1">
      <alignment horizontal="center" vertical="center" wrapText="1"/>
    </xf>
    <xf numFmtId="164" fontId="37" fillId="3" borderId="24" xfId="0" applyNumberFormat="1" applyFont="1" applyFill="1" applyBorder="1" applyAlignment="1">
      <alignment horizontal="right" vertical="top" wrapText="1"/>
    </xf>
    <xf numFmtId="0" fontId="38" fillId="0" borderId="15" xfId="0" applyFont="1" applyBorder="1" applyAlignment="1">
      <alignment horizontal="center" vertical="center" wrapText="1"/>
    </xf>
    <xf numFmtId="0" fontId="39" fillId="0" borderId="6" xfId="0" applyFont="1" applyBorder="1" applyAlignment="1">
      <alignment vertical="top" wrapText="1"/>
    </xf>
    <xf numFmtId="0" fontId="24" fillId="0" borderId="1" xfId="0" applyFont="1" applyBorder="1" applyAlignment="1">
      <alignment vertical="top" wrapText="1"/>
    </xf>
    <xf numFmtId="0" fontId="23" fillId="0" borderId="1" xfId="0" applyFont="1" applyBorder="1" applyAlignment="1">
      <alignment vertical="top" wrapText="1"/>
    </xf>
    <xf numFmtId="0" fontId="23" fillId="3" borderId="1" xfId="0" applyFont="1" applyFill="1" applyBorder="1" applyAlignment="1">
      <alignment vertical="top" wrapText="1"/>
    </xf>
    <xf numFmtId="0" fontId="23" fillId="2" borderId="1" xfId="0" applyFont="1" applyFill="1" applyBorder="1" applyAlignment="1">
      <alignment vertical="top" wrapText="1"/>
    </xf>
    <xf numFmtId="0" fontId="23" fillId="0" borderId="1" xfId="0" applyFont="1" applyFill="1" applyBorder="1" applyAlignment="1">
      <alignment horizontal="right" vertical="top" wrapText="1"/>
    </xf>
    <xf numFmtId="0" fontId="23" fillId="0" borderId="1" xfId="0" applyFont="1" applyFill="1" applyBorder="1" applyAlignment="1">
      <alignment vertical="top" wrapText="1"/>
    </xf>
    <xf numFmtId="0" fontId="22" fillId="3" borderId="1" xfId="0" applyFont="1" applyFill="1" applyBorder="1" applyAlignment="1">
      <alignment vertical="top" wrapText="1"/>
    </xf>
    <xf numFmtId="0" fontId="0" fillId="0" borderId="0" xfId="0" applyAlignment="1">
      <alignment vertical="center"/>
    </xf>
    <xf numFmtId="0" fontId="22" fillId="0" borderId="1" xfId="0" applyFont="1" applyBorder="1" applyAlignment="1">
      <alignment vertical="top" wrapText="1"/>
    </xf>
    <xf numFmtId="0" fontId="33" fillId="2" borderId="3" xfId="0" applyFont="1" applyFill="1" applyBorder="1" applyAlignment="1">
      <alignment horizontal="right" vertical="top" wrapText="1"/>
    </xf>
    <xf numFmtId="0" fontId="33" fillId="2" borderId="2" xfId="0" applyFont="1" applyFill="1" applyBorder="1" applyAlignment="1">
      <alignment horizontal="right" vertical="top" wrapText="1"/>
    </xf>
    <xf numFmtId="0" fontId="33" fillId="2" borderId="4" xfId="0" applyFont="1" applyFill="1" applyBorder="1" applyAlignment="1">
      <alignment horizontal="right" vertical="top" wrapText="1"/>
    </xf>
    <xf numFmtId="0" fontId="0" fillId="0" borderId="17" xfId="0" applyBorder="1" applyAlignment="1">
      <alignment vertical="top"/>
    </xf>
    <xf numFmtId="0" fontId="21" fillId="2" borderId="1" xfId="0" applyFont="1" applyFill="1" applyBorder="1" applyAlignment="1">
      <alignment vertical="top" wrapText="1"/>
    </xf>
    <xf numFmtId="0" fontId="21" fillId="3" borderId="1" xfId="0" applyFont="1" applyFill="1" applyBorder="1" applyAlignment="1">
      <alignment vertical="top" wrapText="1"/>
    </xf>
    <xf numFmtId="0" fontId="21" fillId="3" borderId="3" xfId="0" applyFont="1" applyFill="1" applyBorder="1" applyAlignment="1">
      <alignment vertical="top" wrapText="1"/>
    </xf>
    <xf numFmtId="0" fontId="21" fillId="0" borderId="1" xfId="0" applyFont="1" applyFill="1" applyBorder="1" applyAlignment="1">
      <alignment vertical="top" wrapText="1"/>
    </xf>
    <xf numFmtId="0" fontId="20" fillId="3" borderId="9" xfId="0" applyFont="1" applyFill="1" applyBorder="1" applyAlignment="1">
      <alignment vertical="top" wrapText="1"/>
    </xf>
    <xf numFmtId="0" fontId="20" fillId="3" borderId="1" xfId="0" applyFont="1" applyFill="1" applyBorder="1" applyAlignment="1">
      <alignment vertical="top" wrapText="1"/>
    </xf>
    <xf numFmtId="0" fontId="20" fillId="0" borderId="18" xfId="0" applyFont="1" applyBorder="1" applyAlignment="1">
      <alignment horizontal="center" vertical="top" wrapText="1"/>
    </xf>
    <xf numFmtId="0" fontId="40" fillId="0" borderId="10" xfId="0" applyFont="1" applyBorder="1" applyAlignment="1">
      <alignment horizontal="left" vertical="top" wrapText="1"/>
    </xf>
    <xf numFmtId="0" fontId="40" fillId="0" borderId="11" xfId="0" applyFont="1" applyBorder="1" applyAlignment="1">
      <alignment horizontal="left" vertical="top" wrapText="1"/>
    </xf>
    <xf numFmtId="0" fontId="40" fillId="0" borderId="6" xfId="0" applyFont="1" applyBorder="1" applyAlignment="1">
      <alignment horizontal="left" vertical="top" wrapText="1"/>
    </xf>
    <xf numFmtId="164" fontId="37" fillId="3" borderId="25" xfId="0" applyNumberFormat="1" applyFont="1" applyFill="1" applyBorder="1" applyAlignment="1">
      <alignment horizontal="right" vertical="top" wrapText="1"/>
    </xf>
    <xf numFmtId="3" fontId="37" fillId="3" borderId="3" xfId="0" applyNumberFormat="1" applyFont="1" applyFill="1" applyBorder="1" applyAlignment="1">
      <alignment vertical="top" wrapText="1"/>
    </xf>
    <xf numFmtId="164" fontId="37" fillId="3" borderId="18" xfId="0" applyNumberFormat="1" applyFont="1" applyFill="1" applyBorder="1" applyAlignment="1">
      <alignment horizontal="right" vertical="top" wrapText="1"/>
    </xf>
    <xf numFmtId="164" fontId="37" fillId="3" borderId="16" xfId="0" applyNumberFormat="1" applyFont="1" applyFill="1" applyBorder="1" applyAlignment="1">
      <alignment horizontal="right" vertical="top" wrapText="1"/>
    </xf>
    <xf numFmtId="164" fontId="37" fillId="2" borderId="18" xfId="0" applyNumberFormat="1" applyFont="1" applyFill="1" applyBorder="1" applyAlignment="1">
      <alignment horizontal="right" vertical="top" wrapText="1"/>
    </xf>
    <xf numFmtId="164" fontId="37" fillId="0" borderId="18" xfId="0" applyNumberFormat="1" applyFont="1" applyBorder="1" applyAlignment="1">
      <alignment horizontal="right" vertical="top" wrapText="1"/>
    </xf>
    <xf numFmtId="164" fontId="42" fillId="0" borderId="18" xfId="0" applyNumberFormat="1" applyFont="1" applyFill="1" applyBorder="1" applyAlignment="1">
      <alignment horizontal="right" vertical="top" wrapText="1"/>
    </xf>
    <xf numFmtId="164" fontId="43" fillId="0" borderId="18" xfId="0" applyNumberFormat="1" applyFont="1" applyFill="1" applyBorder="1" applyAlignment="1">
      <alignment horizontal="right" vertical="top" wrapText="1"/>
    </xf>
    <xf numFmtId="164" fontId="37" fillId="0" borderId="16" xfId="0" applyNumberFormat="1" applyFont="1" applyFill="1" applyBorder="1" applyAlignment="1">
      <alignment horizontal="right" vertical="top" wrapText="1"/>
    </xf>
    <xf numFmtId="164" fontId="37" fillId="0" borderId="18" xfId="0" applyNumberFormat="1" applyFont="1" applyFill="1" applyBorder="1" applyAlignment="1">
      <alignment horizontal="right" vertical="top" wrapText="1"/>
    </xf>
    <xf numFmtId="164" fontId="37" fillId="0" borderId="18" xfId="0" applyNumberFormat="1" applyFont="1" applyFill="1" applyBorder="1" applyAlignment="1">
      <alignment vertical="top" wrapText="1"/>
    </xf>
    <xf numFmtId="164" fontId="37" fillId="3" borderId="27" xfId="0" applyNumberFormat="1" applyFont="1" applyFill="1" applyBorder="1" applyAlignment="1">
      <alignment horizontal="right" vertical="top" wrapText="1"/>
    </xf>
    <xf numFmtId="0" fontId="0" fillId="0" borderId="28" xfId="0" applyBorder="1" applyAlignment="1">
      <alignment horizontal="left" vertical="top" wrapText="1"/>
    </xf>
    <xf numFmtId="0" fontId="40" fillId="0" borderId="21" xfId="0" applyFont="1" applyBorder="1" applyAlignment="1">
      <alignment vertical="top" wrapText="1"/>
    </xf>
    <xf numFmtId="0" fontId="40" fillId="0" borderId="11" xfId="0" applyFont="1" applyBorder="1" applyAlignment="1">
      <alignment vertical="top" wrapText="1"/>
    </xf>
    <xf numFmtId="0" fontId="0" fillId="0" borderId="6" xfId="0" applyBorder="1" applyAlignment="1">
      <alignment vertical="center" wrapText="1"/>
    </xf>
    <xf numFmtId="164" fontId="37" fillId="3" borderId="26" xfId="0" applyNumberFormat="1" applyFont="1" applyFill="1" applyBorder="1" applyAlignment="1">
      <alignment horizontal="right" vertical="top" wrapText="1"/>
    </xf>
    <xf numFmtId="164" fontId="42" fillId="2" borderId="23" xfId="0" applyNumberFormat="1" applyFont="1" applyFill="1" applyBorder="1" applyAlignment="1">
      <alignment horizontal="right" vertical="top" wrapText="1"/>
    </xf>
    <xf numFmtId="164" fontId="42" fillId="2" borderId="22" xfId="0" applyNumberFormat="1" applyFont="1" applyFill="1" applyBorder="1" applyAlignment="1">
      <alignment horizontal="right" vertical="top" wrapText="1"/>
    </xf>
    <xf numFmtId="164" fontId="37" fillId="0" borderId="22" xfId="0" applyNumberFormat="1" applyFont="1" applyFill="1" applyBorder="1" applyAlignment="1">
      <alignment vertical="top" wrapText="1"/>
    </xf>
    <xf numFmtId="0" fontId="42" fillId="3" borderId="2" xfId="0" applyFont="1" applyFill="1" applyBorder="1" applyAlignment="1">
      <alignment vertical="top" wrapText="1"/>
    </xf>
    <xf numFmtId="0" fontId="37" fillId="0" borderId="1" xfId="0" applyFont="1" applyFill="1" applyBorder="1" applyAlignment="1">
      <alignment vertical="top" wrapText="1"/>
    </xf>
    <xf numFmtId="0" fontId="40" fillId="0" borderId="1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right" vertical="top" wrapText="1"/>
    </xf>
    <xf numFmtId="0" fontId="18" fillId="3" borderId="1" xfId="0" applyFont="1" applyFill="1" applyBorder="1" applyAlignment="1">
      <alignment vertical="top" wrapText="1"/>
    </xf>
    <xf numFmtId="0" fontId="18" fillId="0" borderId="1" xfId="0" applyFont="1" applyFill="1" applyBorder="1" applyAlignment="1">
      <alignment horizontal="right" vertical="top" wrapText="1"/>
    </xf>
    <xf numFmtId="0" fontId="18" fillId="3" borderId="1" xfId="0" applyFont="1" applyFill="1" applyBorder="1" applyAlignment="1">
      <alignment horizontal="right" vertical="top" wrapText="1"/>
    </xf>
    <xf numFmtId="0" fontId="18" fillId="3" borderId="1" xfId="0" applyFont="1" applyFill="1" applyBorder="1" applyAlignment="1">
      <alignment horizontal="left" vertical="top" wrapText="1"/>
    </xf>
    <xf numFmtId="0" fontId="18" fillId="3" borderId="3" xfId="0" applyFont="1" applyFill="1" applyBorder="1" applyAlignment="1">
      <alignment horizontal="left" vertical="top" wrapText="1"/>
    </xf>
    <xf numFmtId="0" fontId="0" fillId="0" borderId="0" xfId="0" applyBorder="1" applyAlignment="1">
      <alignment vertical="top"/>
    </xf>
    <xf numFmtId="164" fontId="37" fillId="2" borderId="30" xfId="0" applyNumberFormat="1" applyFont="1" applyFill="1" applyBorder="1" applyAlignment="1">
      <alignment horizontal="right" vertical="top" wrapText="1"/>
    </xf>
    <xf numFmtId="0" fontId="18" fillId="3" borderId="2" xfId="0" applyFont="1" applyFill="1" applyBorder="1" applyAlignment="1">
      <alignment horizontal="left" vertical="top" wrapText="1"/>
    </xf>
    <xf numFmtId="0" fontId="18" fillId="3" borderId="2" xfId="0" applyFont="1" applyFill="1" applyBorder="1" applyAlignment="1">
      <alignment horizontal="right" vertical="top" wrapText="1"/>
    </xf>
    <xf numFmtId="0" fontId="19" fillId="3" borderId="30" xfId="0" applyFont="1" applyFill="1" applyBorder="1" applyAlignment="1">
      <alignment horizontal="center" vertical="top" wrapText="1"/>
    </xf>
    <xf numFmtId="0" fontId="24" fillId="0" borderId="30" xfId="0" applyFont="1" applyBorder="1" applyAlignment="1">
      <alignment horizontal="center" vertical="top" wrapText="1"/>
    </xf>
    <xf numFmtId="0" fontId="18" fillId="3" borderId="30" xfId="0" applyFont="1" applyFill="1" applyBorder="1" applyAlignment="1">
      <alignment horizontal="center" vertical="top" wrapText="1"/>
    </xf>
    <xf numFmtId="0" fontId="20" fillId="0" borderId="30" xfId="0" applyFont="1" applyBorder="1" applyAlignment="1">
      <alignment horizontal="center" vertical="top" wrapText="1"/>
    </xf>
    <xf numFmtId="0" fontId="19" fillId="0" borderId="30" xfId="0" applyFont="1" applyBorder="1" applyAlignment="1">
      <alignment horizontal="center" vertical="top" wrapText="1"/>
    </xf>
    <xf numFmtId="0" fontId="31" fillId="3" borderId="30" xfId="0" applyFont="1" applyFill="1" applyBorder="1" applyAlignment="1">
      <alignment horizontal="center" vertical="top" wrapText="1"/>
    </xf>
    <xf numFmtId="0" fontId="20" fillId="3" borderId="30" xfId="0" applyFont="1" applyFill="1" applyBorder="1" applyAlignment="1">
      <alignment horizontal="center" vertical="top" wrapText="1"/>
    </xf>
    <xf numFmtId="0" fontId="37" fillId="0" borderId="30" xfId="0" applyFont="1" applyBorder="1" applyAlignment="1">
      <alignment horizontal="center" vertical="top" wrapText="1"/>
    </xf>
    <xf numFmtId="0" fontId="19" fillId="0" borderId="30" xfId="0" applyFont="1" applyFill="1" applyBorder="1" applyAlignment="1">
      <alignment horizontal="center" vertical="top" wrapText="1"/>
    </xf>
    <xf numFmtId="0" fontId="20" fillId="0" borderId="30" xfId="0" applyFont="1" applyFill="1" applyBorder="1" applyAlignment="1">
      <alignment horizontal="center" vertical="top" wrapText="1"/>
    </xf>
    <xf numFmtId="0" fontId="42" fillId="0" borderId="30" xfId="0" applyFont="1" applyFill="1" applyBorder="1" applyAlignment="1">
      <alignment horizontal="center" vertical="top" wrapText="1"/>
    </xf>
    <xf numFmtId="0" fontId="18" fillId="3" borderId="15" xfId="0" applyFont="1" applyFill="1" applyBorder="1" applyAlignment="1">
      <alignment horizontal="center" vertical="top" wrapText="1"/>
    </xf>
    <xf numFmtId="0" fontId="28" fillId="3" borderId="30" xfId="0" applyFont="1" applyFill="1" applyBorder="1" applyAlignment="1">
      <alignment horizontal="center" vertical="top" wrapText="1"/>
    </xf>
    <xf numFmtId="0" fontId="29" fillId="2" borderId="30" xfId="0" applyFont="1" applyFill="1" applyBorder="1" applyAlignment="1">
      <alignment horizontal="center" vertical="top" wrapText="1"/>
    </xf>
    <xf numFmtId="0" fontId="20" fillId="3" borderId="34" xfId="0" applyFont="1" applyFill="1" applyBorder="1" applyAlignment="1">
      <alignment horizontal="center" vertical="top" wrapText="1"/>
    </xf>
    <xf numFmtId="164" fontId="42" fillId="2" borderId="30" xfId="0" applyNumberFormat="1" applyFont="1" applyFill="1" applyBorder="1" applyAlignment="1">
      <alignment horizontal="right" vertical="top" wrapText="1"/>
    </xf>
    <xf numFmtId="164" fontId="42" fillId="2" borderId="27" xfId="0" applyNumberFormat="1" applyFont="1" applyFill="1" applyBorder="1" applyAlignment="1">
      <alignment horizontal="right" vertical="top" wrapText="1"/>
    </xf>
    <xf numFmtId="164" fontId="37" fillId="3" borderId="35" xfId="0" applyNumberFormat="1" applyFont="1" applyFill="1" applyBorder="1" applyAlignment="1">
      <alignment horizontal="right" vertical="top" wrapText="1"/>
    </xf>
    <xf numFmtId="164" fontId="42" fillId="2" borderId="36" xfId="0" applyNumberFormat="1" applyFont="1" applyFill="1" applyBorder="1" applyAlignment="1">
      <alignment horizontal="right" vertical="top" wrapText="1"/>
    </xf>
    <xf numFmtId="164" fontId="42" fillId="2" borderId="35" xfId="0" applyNumberFormat="1" applyFont="1" applyFill="1" applyBorder="1" applyAlignment="1">
      <alignment horizontal="right" vertical="top" wrapText="1"/>
    </xf>
    <xf numFmtId="164" fontId="42" fillId="2" borderId="5" xfId="0" applyNumberFormat="1" applyFont="1" applyFill="1" applyBorder="1" applyAlignment="1">
      <alignment horizontal="right" vertical="top" wrapText="1"/>
    </xf>
    <xf numFmtId="164" fontId="42" fillId="2" borderId="37" xfId="0" applyNumberFormat="1" applyFont="1" applyFill="1" applyBorder="1" applyAlignment="1">
      <alignment horizontal="right" vertical="top" wrapText="1"/>
    </xf>
    <xf numFmtId="164" fontId="37" fillId="0" borderId="31" xfId="0" applyNumberFormat="1" applyFont="1" applyBorder="1" applyAlignment="1">
      <alignment horizontal="right" vertical="top" wrapText="1"/>
    </xf>
    <xf numFmtId="164" fontId="37" fillId="0" borderId="30" xfId="0" applyNumberFormat="1" applyFont="1" applyFill="1" applyBorder="1" applyAlignment="1">
      <alignment horizontal="right" vertical="top" wrapText="1"/>
    </xf>
    <xf numFmtId="164" fontId="37" fillId="0" borderId="5" xfId="0" applyNumberFormat="1" applyFont="1" applyFill="1" applyBorder="1" applyAlignment="1">
      <alignment vertical="top" wrapText="1"/>
    </xf>
    <xf numFmtId="0" fontId="0" fillId="0" borderId="31" xfId="0" applyBorder="1" applyAlignment="1">
      <alignment vertical="top" wrapText="1"/>
    </xf>
    <xf numFmtId="164" fontId="37" fillId="0" borderId="35" xfId="0" applyNumberFormat="1" applyFont="1" applyFill="1" applyBorder="1" applyAlignment="1">
      <alignment horizontal="right" vertical="top" wrapText="1"/>
    </xf>
    <xf numFmtId="0" fontId="18" fillId="0" borderId="2" xfId="0" applyFont="1" applyFill="1" applyBorder="1" applyAlignment="1">
      <alignment horizontal="right" vertical="top" wrapText="1"/>
    </xf>
    <xf numFmtId="0" fontId="42" fillId="0" borderId="2" xfId="0" applyFont="1" applyFill="1" applyBorder="1" applyAlignment="1">
      <alignment vertical="top" wrapText="1"/>
    </xf>
    <xf numFmtId="3" fontId="37" fillId="0" borderId="1" xfId="0" applyNumberFormat="1" applyFont="1" applyFill="1" applyBorder="1" applyAlignment="1">
      <alignment vertical="top" wrapText="1"/>
    </xf>
    <xf numFmtId="2" fontId="37" fillId="0" borderId="2" xfId="0" applyNumberFormat="1" applyFont="1" applyFill="1" applyBorder="1" applyAlignment="1">
      <alignment vertical="top" wrapText="1"/>
    </xf>
    <xf numFmtId="164" fontId="37" fillId="0" borderId="10" xfId="0" applyNumberFormat="1" applyFont="1" applyFill="1" applyBorder="1" applyAlignment="1">
      <alignment horizontal="right" vertical="top" wrapText="1"/>
    </xf>
    <xf numFmtId="164" fontId="37" fillId="0" borderId="2" xfId="0" applyNumberFormat="1" applyFont="1" applyFill="1" applyBorder="1" applyAlignment="1">
      <alignment horizontal="right" vertical="top" wrapText="1"/>
    </xf>
    <xf numFmtId="164" fontId="37" fillId="0" borderId="23" xfId="0" applyNumberFormat="1" applyFont="1" applyFill="1" applyBorder="1" applyAlignment="1">
      <alignment horizontal="right" vertical="top" wrapText="1"/>
    </xf>
    <xf numFmtId="0" fontId="17" fillId="3" borderId="30" xfId="0" applyFont="1" applyFill="1" applyBorder="1" applyAlignment="1">
      <alignment horizontal="center" vertical="top" wrapText="1"/>
    </xf>
    <xf numFmtId="0" fontId="17" fillId="2" borderId="1" xfId="0" applyFont="1" applyFill="1" applyBorder="1" applyAlignment="1">
      <alignment vertical="top" wrapText="1"/>
    </xf>
    <xf numFmtId="0" fontId="17" fillId="0" borderId="30" xfId="0" applyFont="1" applyBorder="1" applyAlignment="1">
      <alignment horizontal="center" vertical="top" wrapText="1"/>
    </xf>
    <xf numFmtId="3" fontId="37" fillId="3" borderId="2" xfId="0" applyNumberFormat="1" applyFont="1" applyFill="1" applyBorder="1" applyAlignment="1">
      <alignment vertical="top" wrapText="1"/>
    </xf>
    <xf numFmtId="164" fontId="38" fillId="0" borderId="43" xfId="0" applyNumberFormat="1" applyFont="1" applyBorder="1" applyAlignment="1">
      <alignment wrapText="1"/>
    </xf>
    <xf numFmtId="164" fontId="38" fillId="0" borderId="41" xfId="0" applyNumberFormat="1" applyFont="1" applyBorder="1" applyAlignment="1">
      <alignment wrapText="1"/>
    </xf>
    <xf numFmtId="164" fontId="38" fillId="0" borderId="42" xfId="0" applyNumberFormat="1" applyFont="1" applyBorder="1" applyAlignment="1">
      <alignment wrapText="1"/>
    </xf>
    <xf numFmtId="0" fontId="20" fillId="3" borderId="18" xfId="0" applyFont="1" applyFill="1" applyBorder="1" applyAlignment="1">
      <alignment horizontal="center" vertical="top" wrapText="1"/>
    </xf>
    <xf numFmtId="0" fontId="16" fillId="0" borderId="1" xfId="0" applyFont="1" applyBorder="1" applyAlignment="1">
      <alignment horizontal="right" vertical="top" wrapText="1"/>
    </xf>
    <xf numFmtId="164" fontId="38" fillId="0" borderId="44" xfId="0" applyNumberFormat="1" applyFont="1" applyBorder="1" applyAlignment="1">
      <alignment wrapText="1"/>
    </xf>
    <xf numFmtId="0" fontId="41" fillId="0" borderId="44" xfId="0" applyFont="1" applyBorder="1" applyAlignment="1">
      <alignment horizontal="center" vertical="top" wrapText="1"/>
    </xf>
    <xf numFmtId="164" fontId="38" fillId="0" borderId="45" xfId="0" applyNumberFormat="1" applyFont="1" applyBorder="1" applyAlignment="1">
      <alignment wrapText="1"/>
    </xf>
    <xf numFmtId="164" fontId="37" fillId="3" borderId="31" xfId="0" applyNumberFormat="1" applyFont="1" applyFill="1" applyBorder="1" applyAlignment="1">
      <alignment horizontal="right" vertical="top" wrapText="1"/>
    </xf>
    <xf numFmtId="164" fontId="37" fillId="3" borderId="30" xfId="0" applyNumberFormat="1" applyFont="1" applyFill="1" applyBorder="1" applyAlignment="1">
      <alignment horizontal="right" vertical="top" wrapText="1"/>
    </xf>
    <xf numFmtId="0" fontId="14" fillId="3" borderId="18" xfId="0" applyFont="1" applyFill="1" applyBorder="1" applyAlignment="1">
      <alignment horizontal="center" vertical="top" wrapText="1"/>
    </xf>
    <xf numFmtId="164" fontId="37" fillId="3" borderId="5" xfId="0" applyNumberFormat="1" applyFont="1" applyFill="1" applyBorder="1" applyAlignment="1">
      <alignment horizontal="right" vertical="top" wrapText="1"/>
    </xf>
    <xf numFmtId="164" fontId="37" fillId="3" borderId="43" xfId="0" applyNumberFormat="1" applyFont="1" applyFill="1" applyBorder="1" applyAlignment="1">
      <alignment horizontal="right" vertical="top" wrapText="1"/>
    </xf>
    <xf numFmtId="0" fontId="13" fillId="0" borderId="15" xfId="0" applyFont="1" applyBorder="1" applyAlignment="1">
      <alignment horizontal="center" vertical="top" wrapText="1"/>
    </xf>
    <xf numFmtId="0" fontId="16" fillId="3" borderId="1" xfId="0" applyFont="1" applyFill="1" applyBorder="1" applyAlignment="1">
      <alignment horizontal="left" vertical="top" wrapText="1"/>
    </xf>
    <xf numFmtId="0" fontId="40" fillId="0" borderId="31" xfId="0" applyFont="1" applyBorder="1" applyAlignment="1">
      <alignment horizontal="left" vertical="top" wrapText="1"/>
    </xf>
    <xf numFmtId="0" fontId="40" fillId="0" borderId="31" xfId="0" applyFont="1" applyBorder="1" applyAlignment="1">
      <alignment vertical="top" wrapText="1"/>
    </xf>
    <xf numFmtId="0" fontId="40" fillId="0" borderId="39" xfId="0" applyFont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0" fontId="40" fillId="0" borderId="40" xfId="0" applyFont="1" applyBorder="1" applyAlignment="1">
      <alignment vertical="top" wrapText="1"/>
    </xf>
    <xf numFmtId="0" fontId="12" fillId="2" borderId="1" xfId="0" applyFont="1" applyFill="1" applyBorder="1" applyAlignment="1">
      <alignment horizontal="right" vertical="top" wrapText="1"/>
    </xf>
    <xf numFmtId="2" fontId="0" fillId="0" borderId="0" xfId="0" applyNumberFormat="1" applyAlignment="1">
      <alignment vertical="center"/>
    </xf>
    <xf numFmtId="0" fontId="17" fillId="0" borderId="1" xfId="0" applyFont="1" applyFill="1" applyBorder="1" applyAlignment="1">
      <alignment vertical="top" wrapText="1"/>
    </xf>
    <xf numFmtId="165" fontId="0" fillId="0" borderId="0" xfId="0" applyNumberFormat="1" applyAlignment="1">
      <alignment vertical="top"/>
    </xf>
    <xf numFmtId="2" fontId="0" fillId="0" borderId="0" xfId="0" applyNumberFormat="1"/>
    <xf numFmtId="164" fontId="43" fillId="0" borderId="6" xfId="0" applyNumberFormat="1" applyFont="1" applyBorder="1" applyAlignment="1">
      <alignment horizontal="right" vertical="top" wrapText="1"/>
    </xf>
    <xf numFmtId="0" fontId="42" fillId="0" borderId="30" xfId="0" applyFont="1" applyBorder="1" applyAlignment="1">
      <alignment horizontal="center" vertical="top" wrapText="1"/>
    </xf>
    <xf numFmtId="0" fontId="12" fillId="0" borderId="30" xfId="0" applyFont="1" applyFill="1" applyBorder="1" applyAlignment="1">
      <alignment horizontal="center" vertical="top" wrapText="1"/>
    </xf>
    <xf numFmtId="164" fontId="0" fillId="0" borderId="0" xfId="0" applyNumberFormat="1" applyAlignment="1">
      <alignment vertical="center"/>
    </xf>
    <xf numFmtId="0" fontId="0" fillId="0" borderId="6" xfId="0" applyFill="1" applyBorder="1" applyAlignment="1">
      <alignment vertical="top" wrapText="1"/>
    </xf>
    <xf numFmtId="0" fontId="11" fillId="0" borderId="1" xfId="0" applyFont="1" applyFill="1" applyBorder="1" applyAlignment="1">
      <alignment vertical="top" wrapText="1"/>
    </xf>
    <xf numFmtId="164" fontId="42" fillId="0" borderId="2" xfId="0" applyNumberFormat="1" applyFont="1" applyFill="1" applyBorder="1" applyAlignment="1">
      <alignment horizontal="right" vertical="top" wrapText="1"/>
    </xf>
    <xf numFmtId="0" fontId="40" fillId="0" borderId="31" xfId="0" applyFont="1" applyFill="1" applyBorder="1" applyAlignment="1">
      <alignment vertical="top" wrapText="1"/>
    </xf>
    <xf numFmtId="0" fontId="40" fillId="0" borderId="6" xfId="0" applyFont="1" applyFill="1" applyBorder="1" applyAlignment="1">
      <alignment vertical="top" wrapText="1"/>
    </xf>
    <xf numFmtId="0" fontId="0" fillId="0" borderId="6" xfId="0" applyFill="1" applyBorder="1" applyAlignment="1">
      <alignment horizontal="left" vertical="top" wrapText="1"/>
    </xf>
    <xf numFmtId="0" fontId="40" fillId="0" borderId="6" xfId="0" applyFont="1" applyFill="1" applyBorder="1" applyAlignment="1">
      <alignment horizontal="left" vertical="top" wrapText="1"/>
    </xf>
    <xf numFmtId="0" fontId="40" fillId="0" borderId="31" xfId="0" applyFont="1" applyFill="1" applyBorder="1" applyAlignment="1">
      <alignment horizontal="left" vertical="top" wrapText="1"/>
    </xf>
    <xf numFmtId="0" fontId="42" fillId="2" borderId="5" xfId="0" applyFont="1" applyFill="1" applyBorder="1" applyAlignment="1">
      <alignment vertical="top" wrapText="1"/>
    </xf>
    <xf numFmtId="164" fontId="37" fillId="2" borderId="5" xfId="0" applyNumberFormat="1" applyFont="1" applyFill="1" applyBorder="1" applyAlignment="1">
      <alignment horizontal="right" vertical="top" wrapText="1"/>
    </xf>
    <xf numFmtId="0" fontId="40" fillId="0" borderId="38" xfId="0" applyFont="1" applyFill="1" applyBorder="1" applyAlignment="1">
      <alignment horizontal="left" vertical="top" wrapText="1"/>
    </xf>
    <xf numFmtId="0" fontId="10" fillId="2" borderId="30" xfId="0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right" vertical="top" wrapText="1"/>
    </xf>
    <xf numFmtId="0" fontId="40" fillId="0" borderId="38" xfId="0" applyFont="1" applyFill="1" applyBorder="1" applyAlignment="1">
      <alignment vertical="top" wrapText="1"/>
    </xf>
    <xf numFmtId="0" fontId="39" fillId="4" borderId="0" xfId="0" applyFont="1" applyFill="1" applyAlignment="1">
      <alignment vertical="top"/>
    </xf>
    <xf numFmtId="0" fontId="9" fillId="0" borderId="15" xfId="0" applyFont="1" applyBorder="1" applyAlignment="1">
      <alignment horizontal="center" vertical="top" wrapText="1"/>
    </xf>
    <xf numFmtId="0" fontId="9" fillId="3" borderId="1" xfId="0" applyFont="1" applyFill="1" applyBorder="1" applyAlignment="1">
      <alignment vertical="top" wrapText="1"/>
    </xf>
    <xf numFmtId="0" fontId="9" fillId="2" borderId="30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right" vertical="top" wrapText="1"/>
    </xf>
    <xf numFmtId="0" fontId="9" fillId="3" borderId="18" xfId="0" applyFont="1" applyFill="1" applyBorder="1" applyAlignment="1">
      <alignment horizontal="center" vertical="top" wrapText="1"/>
    </xf>
    <xf numFmtId="43" fontId="0" fillId="0" borderId="0" xfId="1" applyFont="1" applyAlignment="1">
      <alignment horizontal="right" vertical="top"/>
    </xf>
    <xf numFmtId="164" fontId="8" fillId="3" borderId="0" xfId="0" applyNumberFormat="1" applyFont="1" applyFill="1" applyBorder="1" applyAlignment="1">
      <alignment horizontal="right" vertical="top" wrapText="1"/>
    </xf>
    <xf numFmtId="0" fontId="45" fillId="0" borderId="0" xfId="0" applyFont="1" applyAlignment="1">
      <alignment vertical="top"/>
    </xf>
    <xf numFmtId="165" fontId="0" fillId="0" borderId="17" xfId="0" applyNumberFormat="1" applyBorder="1" applyAlignment="1">
      <alignment vertical="top"/>
    </xf>
    <xf numFmtId="0" fontId="7" fillId="2" borderId="1" xfId="0" applyFont="1" applyFill="1" applyBorder="1" applyAlignment="1">
      <alignment vertical="top" wrapText="1"/>
    </xf>
    <xf numFmtId="164" fontId="0" fillId="0" borderId="0" xfId="0" applyNumberFormat="1" applyAlignment="1">
      <alignment vertical="top"/>
    </xf>
    <xf numFmtId="0" fontId="9" fillId="0" borderId="30" xfId="0" applyFont="1" applyBorder="1" applyAlignment="1">
      <alignment horizontal="center" vertical="top" wrapText="1"/>
    </xf>
    <xf numFmtId="164" fontId="42" fillId="2" borderId="0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right" vertical="top" wrapText="1"/>
    </xf>
    <xf numFmtId="0" fontId="42" fillId="0" borderId="5" xfId="0" applyFont="1" applyFill="1" applyBorder="1" applyAlignment="1">
      <alignment vertical="top" wrapText="1"/>
    </xf>
    <xf numFmtId="0" fontId="42" fillId="0" borderId="11" xfId="0" applyFont="1" applyBorder="1" applyAlignment="1">
      <alignment horizontal="left" vertical="top" wrapText="1"/>
    </xf>
    <xf numFmtId="0" fontId="7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vertical="top" wrapText="1"/>
    </xf>
    <xf numFmtId="164" fontId="42" fillId="0" borderId="16" xfId="0" applyNumberFormat="1" applyFont="1" applyFill="1" applyBorder="1" applyAlignment="1">
      <alignment horizontal="right" vertical="top" wrapText="1"/>
    </xf>
    <xf numFmtId="0" fontId="10" fillId="0" borderId="1" xfId="0" applyFont="1" applyFill="1" applyBorder="1" applyAlignment="1">
      <alignment vertical="top" wrapText="1"/>
    </xf>
    <xf numFmtId="0" fontId="6" fillId="0" borderId="6" xfId="0" applyFont="1" applyFill="1" applyBorder="1" applyAlignment="1">
      <alignment horizontal="left" vertical="top" wrapText="1"/>
    </xf>
    <xf numFmtId="164" fontId="42" fillId="0" borderId="22" xfId="0" applyNumberFormat="1" applyFont="1" applyFill="1" applyBorder="1" applyAlignment="1">
      <alignment vertical="top" wrapText="1"/>
    </xf>
    <xf numFmtId="164" fontId="42" fillId="0" borderId="23" xfId="0" applyNumberFormat="1" applyFont="1" applyFill="1" applyBorder="1" applyAlignment="1">
      <alignment vertical="top" wrapText="1"/>
    </xf>
    <xf numFmtId="165" fontId="0" fillId="0" borderId="0" xfId="0" applyNumberFormat="1"/>
    <xf numFmtId="0" fontId="40" fillId="0" borderId="40" xfId="0" applyFont="1" applyFill="1" applyBorder="1" applyAlignment="1">
      <alignment vertical="top" wrapText="1"/>
    </xf>
    <xf numFmtId="0" fontId="5" fillId="3" borderId="30" xfId="0" applyFont="1" applyFill="1" applyBorder="1" applyAlignment="1">
      <alignment horizontal="center" vertical="top" wrapText="1"/>
    </xf>
    <xf numFmtId="0" fontId="40" fillId="0" borderId="39" xfId="0" applyFont="1" applyFill="1" applyBorder="1" applyAlignment="1">
      <alignment vertical="top" wrapText="1"/>
    </xf>
    <xf numFmtId="0" fontId="40" fillId="0" borderId="11" xfId="0" applyFont="1" applyFill="1" applyBorder="1" applyAlignment="1">
      <alignment vertical="top" wrapText="1"/>
    </xf>
    <xf numFmtId="0" fontId="4" fillId="0" borderId="1" xfId="0" applyFont="1" applyBorder="1" applyAlignment="1">
      <alignment horizontal="right" vertical="top" wrapText="1"/>
    </xf>
    <xf numFmtId="0" fontId="4" fillId="2" borderId="1" xfId="0" applyFont="1" applyFill="1" applyBorder="1" applyAlignment="1">
      <alignment vertical="top" wrapText="1"/>
    </xf>
    <xf numFmtId="0" fontId="34" fillId="2" borderId="33" xfId="0" applyFont="1" applyFill="1" applyBorder="1" applyAlignment="1">
      <alignment horizontal="center" vertical="top" wrapText="1"/>
    </xf>
    <xf numFmtId="164" fontId="42" fillId="2" borderId="6" xfId="0" applyNumberFormat="1" applyFont="1" applyFill="1" applyBorder="1" applyAlignment="1">
      <alignment horizontal="right" vertical="top" wrapText="1"/>
    </xf>
    <xf numFmtId="164" fontId="37" fillId="0" borderId="31" xfId="0" applyNumberFormat="1" applyFont="1" applyFill="1" applyBorder="1" applyAlignment="1">
      <alignment horizontal="right" vertical="top" wrapText="1"/>
    </xf>
    <xf numFmtId="164" fontId="42" fillId="0" borderId="46" xfId="0" applyNumberFormat="1" applyFont="1" applyFill="1" applyBorder="1" applyAlignment="1">
      <alignment vertical="top" wrapText="1"/>
    </xf>
    <xf numFmtId="164" fontId="37" fillId="0" borderId="47" xfId="0" applyNumberFormat="1" applyFont="1" applyFill="1" applyBorder="1" applyAlignment="1">
      <alignment vertical="top" wrapText="1"/>
    </xf>
    <xf numFmtId="0" fontId="3" fillId="3" borderId="30" xfId="0" applyFont="1" applyFill="1" applyBorder="1" applyAlignment="1">
      <alignment horizontal="center" vertical="top" wrapText="1"/>
    </xf>
    <xf numFmtId="0" fontId="3" fillId="2" borderId="30" xfId="0" applyFont="1" applyFill="1" applyBorder="1" applyAlignment="1">
      <alignment horizontal="center" vertical="top" wrapText="1"/>
    </xf>
    <xf numFmtId="0" fontId="3" fillId="3" borderId="15" xfId="0" applyFont="1" applyFill="1" applyBorder="1" applyAlignment="1">
      <alignment horizontal="center" vertical="top" wrapText="1"/>
    </xf>
    <xf numFmtId="164" fontId="37" fillId="3" borderId="48" xfId="0" applyNumberFormat="1" applyFont="1" applyFill="1" applyBorder="1" applyAlignment="1">
      <alignment horizontal="right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40" fillId="0" borderId="10" xfId="0" applyFont="1" applyBorder="1" applyAlignment="1">
      <alignment vertical="top" wrapText="1"/>
    </xf>
    <xf numFmtId="0" fontId="0" fillId="0" borderId="10" xfId="0" applyFill="1" applyBorder="1" applyAlignment="1">
      <alignment vertical="top" wrapText="1"/>
    </xf>
    <xf numFmtId="164" fontId="42" fillId="0" borderId="1" xfId="0" applyNumberFormat="1" applyFont="1" applyFill="1" applyBorder="1" applyAlignment="1">
      <alignment vertical="top" wrapText="1"/>
    </xf>
    <xf numFmtId="0" fontId="15" fillId="3" borderId="41" xfId="0" applyFont="1" applyFill="1" applyBorder="1" applyAlignment="1">
      <alignment horizontal="center" vertical="top" wrapText="1"/>
    </xf>
    <xf numFmtId="0" fontId="15" fillId="3" borderId="30" xfId="0" applyFont="1" applyFill="1" applyBorder="1" applyAlignment="1">
      <alignment horizontal="center" vertical="top" wrapText="1"/>
    </xf>
    <xf numFmtId="164" fontId="37" fillId="3" borderId="49" xfId="0" applyNumberFormat="1" applyFont="1" applyFill="1" applyBorder="1" applyAlignment="1">
      <alignment horizontal="right" vertical="top" wrapText="1"/>
    </xf>
    <xf numFmtId="0" fontId="40" fillId="0" borderId="50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40" fillId="0" borderId="11" xfId="0" applyFont="1" applyBorder="1" applyAlignment="1">
      <alignment horizontal="left" vertical="top" wrapText="1"/>
    </xf>
    <xf numFmtId="4" fontId="0" fillId="0" borderId="0" xfId="0" applyNumberFormat="1" applyAlignment="1">
      <alignment vertical="top"/>
    </xf>
    <xf numFmtId="164" fontId="37" fillId="2" borderId="31" xfId="0" applyNumberFormat="1" applyFont="1" applyFill="1" applyBorder="1" applyAlignment="1">
      <alignment horizontal="right" vertical="top" wrapText="1"/>
    </xf>
    <xf numFmtId="0" fontId="16" fillId="3" borderId="51" xfId="0" applyFont="1" applyFill="1" applyBorder="1" applyAlignment="1">
      <alignment horizontal="left" vertical="top" wrapText="1"/>
    </xf>
    <xf numFmtId="0" fontId="42" fillId="3" borderId="51" xfId="0" applyFont="1" applyFill="1" applyBorder="1" applyAlignment="1">
      <alignment vertical="top" wrapText="1"/>
    </xf>
    <xf numFmtId="3" fontId="37" fillId="3" borderId="51" xfId="0" applyNumberFormat="1" applyFont="1" applyFill="1" applyBorder="1" applyAlignment="1">
      <alignment vertical="top" wrapText="1"/>
    </xf>
    <xf numFmtId="0" fontId="42" fillId="3" borderId="6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right" vertical="top" wrapText="1"/>
    </xf>
    <xf numFmtId="0" fontId="37" fillId="0" borderId="32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3" borderId="30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164" fontId="37" fillId="3" borderId="52" xfId="0" applyNumberFormat="1" applyFont="1" applyFill="1" applyBorder="1" applyAlignment="1">
      <alignment horizontal="right" vertical="top" wrapText="1"/>
    </xf>
    <xf numFmtId="0" fontId="42" fillId="0" borderId="38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0" borderId="30" xfId="0" applyFont="1" applyFill="1" applyBorder="1" applyAlignment="1">
      <alignment horizontal="center" vertical="top" wrapText="1"/>
    </xf>
    <xf numFmtId="0" fontId="1" fillId="3" borderId="30" xfId="0" applyFont="1" applyFill="1" applyBorder="1" applyAlignment="1">
      <alignment horizontal="center" vertical="top" wrapText="1"/>
    </xf>
    <xf numFmtId="0" fontId="42" fillId="0" borderId="10" xfId="0" applyFont="1" applyBorder="1" applyAlignment="1">
      <alignment horizontal="left" vertical="top" wrapText="1"/>
    </xf>
    <xf numFmtId="0" fontId="42" fillId="0" borderId="21" xfId="0" applyFont="1" applyBorder="1" applyAlignment="1">
      <alignment horizontal="left" vertical="top" wrapText="1"/>
    </xf>
    <xf numFmtId="0" fontId="42" fillId="0" borderId="11" xfId="0" applyFont="1" applyBorder="1" applyAlignment="1">
      <alignment horizontal="left" vertical="top" wrapText="1"/>
    </xf>
    <xf numFmtId="0" fontId="38" fillId="0" borderId="0" xfId="0" applyFont="1" applyAlignment="1">
      <alignment horizontal="center"/>
    </xf>
    <xf numFmtId="0" fontId="38" fillId="0" borderId="12" xfId="0" applyFont="1" applyBorder="1" applyAlignment="1">
      <alignment horizontal="center" vertical="center" wrapText="1"/>
    </xf>
    <xf numFmtId="0" fontId="38" fillId="0" borderId="13" xfId="0" applyFont="1" applyBorder="1" applyAlignment="1">
      <alignment horizontal="center" vertical="center" wrapText="1"/>
    </xf>
    <xf numFmtId="0" fontId="38" fillId="0" borderId="7" xfId="0" applyFont="1" applyBorder="1" applyAlignment="1">
      <alignment horizontal="center" vertical="center" wrapText="1"/>
    </xf>
    <xf numFmtId="0" fontId="38" fillId="0" borderId="8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 wrapText="1"/>
    </xf>
    <xf numFmtId="0" fontId="20" fillId="2" borderId="15" xfId="0" applyFont="1" applyFill="1" applyBorder="1" applyAlignment="1">
      <alignment horizontal="center" vertical="top" wrapText="1"/>
    </xf>
    <xf numFmtId="0" fontId="24" fillId="2" borderId="32" xfId="0" applyFont="1" applyFill="1" applyBorder="1" applyAlignment="1">
      <alignment horizontal="center" vertical="top" wrapText="1"/>
    </xf>
    <xf numFmtId="0" fontId="24" fillId="2" borderId="33" xfId="0" applyFont="1" applyFill="1" applyBorder="1" applyAlignment="1">
      <alignment horizontal="center" vertical="top" wrapText="1"/>
    </xf>
    <xf numFmtId="0" fontId="9" fillId="2" borderId="15" xfId="0" applyFont="1" applyFill="1" applyBorder="1" applyAlignment="1">
      <alignment horizontal="center" vertical="top" wrapText="1"/>
    </xf>
    <xf numFmtId="0" fontId="34" fillId="2" borderId="32" xfId="0" applyFont="1" applyFill="1" applyBorder="1" applyAlignment="1">
      <alignment horizontal="center" vertical="top" wrapText="1"/>
    </xf>
    <xf numFmtId="0" fontId="12" fillId="2" borderId="15" xfId="0" applyFont="1" applyFill="1" applyBorder="1" applyAlignment="1">
      <alignment horizontal="center" vertical="top" wrapText="1"/>
    </xf>
    <xf numFmtId="0" fontId="19" fillId="2" borderId="32" xfId="0" applyFont="1" applyFill="1" applyBorder="1" applyAlignment="1">
      <alignment horizontal="center" vertical="top" wrapText="1"/>
    </xf>
    <xf numFmtId="0" fontId="19" fillId="2" borderId="33" xfId="0" applyFont="1" applyFill="1" applyBorder="1" applyAlignment="1">
      <alignment horizontal="center" vertical="top" wrapText="1"/>
    </xf>
    <xf numFmtId="0" fontId="40" fillId="0" borderId="6" xfId="0" applyFont="1" applyFill="1" applyBorder="1" applyAlignment="1">
      <alignment horizontal="left" vertical="top" wrapText="1"/>
    </xf>
    <xf numFmtId="0" fontId="38" fillId="0" borderId="29" xfId="0" applyFont="1" applyBorder="1" applyAlignment="1">
      <alignment horizontal="right" wrapText="1"/>
    </xf>
    <xf numFmtId="0" fontId="38" fillId="0" borderId="42" xfId="0" applyFont="1" applyBorder="1" applyAlignment="1">
      <alignment horizontal="right" wrapText="1"/>
    </xf>
    <xf numFmtId="0" fontId="40" fillId="0" borderId="10" xfId="0" applyFont="1" applyBorder="1" applyAlignment="1">
      <alignment horizontal="left" vertical="top" wrapText="1"/>
    </xf>
    <xf numFmtId="0" fontId="40" fillId="0" borderId="21" xfId="0" applyFont="1" applyBorder="1" applyAlignment="1">
      <alignment horizontal="left" vertical="top" wrapText="1"/>
    </xf>
    <xf numFmtId="0" fontId="40" fillId="0" borderId="11" xfId="0" applyFont="1" applyBorder="1" applyAlignment="1">
      <alignment horizontal="left" vertical="top" wrapText="1"/>
    </xf>
    <xf numFmtId="0" fontId="40" fillId="0" borderId="10" xfId="0" applyFont="1" applyBorder="1" applyAlignment="1">
      <alignment horizontal="left" vertical="center" wrapText="1"/>
    </xf>
    <xf numFmtId="0" fontId="40" fillId="0" borderId="21" xfId="0" applyFont="1" applyBorder="1" applyAlignment="1">
      <alignment horizontal="left" vertical="center" wrapText="1"/>
    </xf>
    <xf numFmtId="0" fontId="40" fillId="0" borderId="11" xfId="0" applyFont="1" applyBorder="1" applyAlignment="1">
      <alignment horizontal="left" vertical="center" wrapText="1"/>
    </xf>
    <xf numFmtId="0" fontId="40" fillId="0" borderId="10" xfId="0" applyFont="1" applyFill="1" applyBorder="1" applyAlignment="1">
      <alignment horizontal="left" vertical="top" wrapText="1"/>
    </xf>
    <xf numFmtId="0" fontId="40" fillId="0" borderId="21" xfId="0" applyFont="1" applyFill="1" applyBorder="1" applyAlignment="1">
      <alignment horizontal="left" vertical="top" wrapText="1"/>
    </xf>
    <xf numFmtId="0" fontId="40" fillId="0" borderId="11" xfId="0" applyFont="1" applyFill="1" applyBorder="1" applyAlignment="1">
      <alignment horizontal="left" vertical="top" wrapText="1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Medium9"/>
  <colors>
    <mruColors>
      <color rgb="FFFFFF00"/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1"/>
  <sheetViews>
    <sheetView tabSelected="1" view="pageBreakPreview" zoomScale="115" zoomScaleNormal="115" zoomScaleSheetLayoutView="115" workbookViewId="0">
      <pane xSplit="2" ySplit="7" topLeftCell="D8" activePane="bottomRight" state="frozen"/>
      <selection pane="topRight" activeCell="C1" sqref="C1"/>
      <selection pane="bottomLeft" activeCell="A6" sqref="A6"/>
      <selection pane="bottomRight" activeCell="H106" sqref="H106"/>
    </sheetView>
  </sheetViews>
  <sheetFormatPr defaultRowHeight="15" x14ac:dyDescent="0.25"/>
  <cols>
    <col min="1" max="1" width="3.5703125" customWidth="1"/>
    <col min="2" max="2" width="36.5703125" customWidth="1"/>
    <col min="3" max="3" width="8.28515625" customWidth="1"/>
    <col min="4" max="4" width="13.7109375" customWidth="1"/>
    <col min="5" max="5" width="11.140625" customWidth="1"/>
    <col min="6" max="6" width="12.7109375" customWidth="1"/>
    <col min="7" max="7" width="12.42578125" customWidth="1"/>
    <col min="8" max="9" width="12.5703125" customWidth="1"/>
    <col min="10" max="10" width="15.140625" customWidth="1"/>
    <col min="11" max="11" width="51.5703125" customWidth="1"/>
    <col min="12" max="12" width="15.85546875" bestFit="1" customWidth="1"/>
    <col min="13" max="14" width="11.7109375" bestFit="1" customWidth="1"/>
    <col min="15" max="15" width="12.85546875" bestFit="1" customWidth="1"/>
  </cols>
  <sheetData>
    <row r="1" spans="1:13" x14ac:dyDescent="0.25">
      <c r="K1" s="66" t="s">
        <v>213</v>
      </c>
    </row>
    <row r="3" spans="1:13" x14ac:dyDescent="0.25">
      <c r="K3" s="24" t="s">
        <v>57</v>
      </c>
    </row>
    <row r="4" spans="1:13" x14ac:dyDescent="0.25">
      <c r="A4" s="296" t="s">
        <v>123</v>
      </c>
      <c r="B4" s="296"/>
      <c r="C4" s="296"/>
      <c r="D4" s="296"/>
      <c r="E4" s="296"/>
      <c r="F4" s="296"/>
      <c r="G4" s="296"/>
      <c r="H4" s="296"/>
      <c r="I4" s="296"/>
      <c r="J4" s="296"/>
      <c r="K4" s="296"/>
    </row>
    <row r="5" spans="1:13" ht="15.75" thickBot="1" x14ac:dyDescent="0.3"/>
    <row r="6" spans="1:13" ht="29.25" customHeight="1" x14ac:dyDescent="0.25">
      <c r="A6" s="299" t="s">
        <v>0</v>
      </c>
      <c r="B6" s="297" t="s">
        <v>1</v>
      </c>
      <c r="C6" s="297" t="s">
        <v>4</v>
      </c>
      <c r="D6" s="297" t="s">
        <v>29</v>
      </c>
      <c r="E6" s="297" t="s">
        <v>2</v>
      </c>
      <c r="F6" s="301" t="s">
        <v>58</v>
      </c>
      <c r="G6" s="301"/>
      <c r="H6" s="301"/>
      <c r="I6" s="301"/>
      <c r="J6" s="301"/>
      <c r="K6" s="297" t="s">
        <v>161</v>
      </c>
    </row>
    <row r="7" spans="1:13" ht="28.5" customHeight="1" thickBot="1" x14ac:dyDescent="0.3">
      <c r="A7" s="300"/>
      <c r="B7" s="298"/>
      <c r="C7" s="298"/>
      <c r="D7" s="298"/>
      <c r="E7" s="298"/>
      <c r="F7" s="26">
        <v>2020</v>
      </c>
      <c r="G7" s="2">
        <v>2021</v>
      </c>
      <c r="H7" s="2">
        <v>2022</v>
      </c>
      <c r="I7" s="84">
        <v>2023</v>
      </c>
      <c r="J7" s="82" t="s">
        <v>109</v>
      </c>
      <c r="K7" s="298"/>
    </row>
    <row r="8" spans="1:13" ht="20.25" customHeight="1" x14ac:dyDescent="0.25">
      <c r="A8" s="8" t="s">
        <v>3</v>
      </c>
      <c r="B8" s="103" t="s">
        <v>108</v>
      </c>
      <c r="C8" s="8">
        <v>0.46</v>
      </c>
      <c r="D8" s="110">
        <f t="shared" ref="D8:D13" si="0">F8+G8+H8+I8+J8</f>
        <v>2200000</v>
      </c>
      <c r="E8" s="156" t="s">
        <v>109</v>
      </c>
      <c r="F8" s="83">
        <v>0</v>
      </c>
      <c r="G8" s="9">
        <v>0</v>
      </c>
      <c r="H8" s="9">
        <v>0</v>
      </c>
      <c r="I8" s="27">
        <v>0</v>
      </c>
      <c r="J8" s="125">
        <v>2200000</v>
      </c>
      <c r="K8" s="121" t="s">
        <v>113</v>
      </c>
      <c r="M8" s="93"/>
    </row>
    <row r="9" spans="1:13" ht="91.5" customHeight="1" x14ac:dyDescent="0.25">
      <c r="A9" s="14" t="s">
        <v>5</v>
      </c>
      <c r="B9" s="100" t="s">
        <v>107</v>
      </c>
      <c r="C9" s="68">
        <v>0.21</v>
      </c>
      <c r="D9" s="50">
        <f t="shared" si="0"/>
        <v>740000</v>
      </c>
      <c r="E9" s="260" t="s">
        <v>109</v>
      </c>
      <c r="F9" s="16">
        <v>0</v>
      </c>
      <c r="G9" s="16">
        <v>0</v>
      </c>
      <c r="H9" s="16">
        <v>0</v>
      </c>
      <c r="I9" s="111">
        <v>0</v>
      </c>
      <c r="J9" s="29">
        <v>740000</v>
      </c>
      <c r="K9" s="106" t="s">
        <v>158</v>
      </c>
    </row>
    <row r="10" spans="1:13" ht="31.5" customHeight="1" x14ac:dyDescent="0.25">
      <c r="A10" s="104" t="s">
        <v>6</v>
      </c>
      <c r="B10" s="57" t="s">
        <v>64</v>
      </c>
      <c r="C10" s="17">
        <f>C11+C12+C16</f>
        <v>6.8100000000000005</v>
      </c>
      <c r="D10" s="50">
        <f t="shared" si="0"/>
        <v>28680646.5</v>
      </c>
      <c r="E10" s="144" t="s">
        <v>115</v>
      </c>
      <c r="F10" s="16">
        <f>F11+F12+F16</f>
        <v>7034404.5</v>
      </c>
      <c r="G10" s="18">
        <f>G11+G12+G16</f>
        <v>2498242</v>
      </c>
      <c r="H10" s="18">
        <f t="shared" ref="H10:J10" si="1">H11+H12+H16</f>
        <v>0</v>
      </c>
      <c r="I10" s="112">
        <f t="shared" si="1"/>
        <v>3648000</v>
      </c>
      <c r="J10" s="30">
        <f t="shared" si="1"/>
        <v>15500000</v>
      </c>
      <c r="K10" s="6"/>
    </row>
    <row r="11" spans="1:13" ht="61.5" customHeight="1" x14ac:dyDescent="0.25">
      <c r="A11" s="56" t="s">
        <v>30</v>
      </c>
      <c r="B11" s="284" t="s">
        <v>121</v>
      </c>
      <c r="C11" s="35">
        <f>1.04</f>
        <v>1.04</v>
      </c>
      <c r="D11" s="50">
        <f>F11+G11+H11+I11+J11</f>
        <v>2498242</v>
      </c>
      <c r="E11" s="220">
        <v>2021</v>
      </c>
      <c r="F11" s="38"/>
      <c r="G11" s="211">
        <v>2498242</v>
      </c>
      <c r="H11" s="53"/>
      <c r="I11" s="54"/>
      <c r="J11" s="126"/>
      <c r="K11" s="6" t="s">
        <v>166</v>
      </c>
    </row>
    <row r="12" spans="1:13" ht="60.75" customHeight="1" x14ac:dyDescent="0.25">
      <c r="A12" s="56" t="s">
        <v>31</v>
      </c>
      <c r="B12" s="234" t="s">
        <v>95</v>
      </c>
      <c r="C12" s="35">
        <f>C13+C14+C15</f>
        <v>1.65</v>
      </c>
      <c r="D12" s="50">
        <f t="shared" si="0"/>
        <v>7948000</v>
      </c>
      <c r="E12" s="302" t="s">
        <v>112</v>
      </c>
      <c r="F12" s="38">
        <v>0</v>
      </c>
      <c r="G12" s="55">
        <f t="shared" ref="G12:J12" si="2">G13+G14+G15</f>
        <v>0</v>
      </c>
      <c r="H12" s="55">
        <f t="shared" si="2"/>
        <v>0</v>
      </c>
      <c r="I12" s="55">
        <f t="shared" si="2"/>
        <v>3648000</v>
      </c>
      <c r="J12" s="127">
        <f t="shared" si="2"/>
        <v>4300000</v>
      </c>
      <c r="K12" s="293" t="s">
        <v>48</v>
      </c>
      <c r="L12" s="237"/>
    </row>
    <row r="13" spans="1:13" x14ac:dyDescent="0.25">
      <c r="A13" s="96"/>
      <c r="B13" s="241" t="s">
        <v>153</v>
      </c>
      <c r="C13" s="35">
        <f>0.22+0.28</f>
        <v>0.5</v>
      </c>
      <c r="D13" s="50">
        <f t="shared" si="0"/>
        <v>2400000</v>
      </c>
      <c r="E13" s="303"/>
      <c r="F13" s="38"/>
      <c r="G13" s="52"/>
      <c r="H13" s="53"/>
      <c r="I13" s="54">
        <v>2400000</v>
      </c>
      <c r="J13" s="126"/>
      <c r="K13" s="294"/>
    </row>
    <row r="14" spans="1:13" x14ac:dyDescent="0.25">
      <c r="A14" s="97"/>
      <c r="B14" s="283" t="s">
        <v>203</v>
      </c>
      <c r="C14" s="35">
        <v>0.26</v>
      </c>
      <c r="D14" s="50">
        <f t="shared" ref="D14:D82" si="3">F14+G14+H14+I14+J14</f>
        <v>1248000</v>
      </c>
      <c r="E14" s="303"/>
      <c r="F14" s="38"/>
      <c r="G14" s="52"/>
      <c r="H14" s="53"/>
      <c r="I14" s="54">
        <v>1248000</v>
      </c>
      <c r="J14" s="126"/>
      <c r="K14" s="294"/>
    </row>
    <row r="15" spans="1:13" ht="30" x14ac:dyDescent="0.25">
      <c r="A15" s="95"/>
      <c r="B15" s="89" t="s">
        <v>90</v>
      </c>
      <c r="C15" s="35">
        <v>0.89</v>
      </c>
      <c r="D15" s="50">
        <f t="shared" si="3"/>
        <v>4300000</v>
      </c>
      <c r="E15" s="304"/>
      <c r="F15" s="38"/>
      <c r="G15" s="52"/>
      <c r="H15" s="53"/>
      <c r="I15" s="54"/>
      <c r="J15" s="126">
        <v>4300000</v>
      </c>
      <c r="K15" s="295"/>
      <c r="L15" s="40"/>
    </row>
    <row r="16" spans="1:13" ht="47.25" customHeight="1" x14ac:dyDescent="0.25">
      <c r="A16" s="56" t="s">
        <v>32</v>
      </c>
      <c r="B16" s="284" t="s">
        <v>204</v>
      </c>
      <c r="C16" s="35">
        <f>SUM(C17:C25)</f>
        <v>4.120000000000001</v>
      </c>
      <c r="D16" s="50">
        <f t="shared" si="3"/>
        <v>18234404.5</v>
      </c>
      <c r="E16" s="307" t="s">
        <v>135</v>
      </c>
      <c r="F16" s="38">
        <f>F17+F18+F19+F20+F21+F22+F23+F24+F25</f>
        <v>7034404.5</v>
      </c>
      <c r="G16" s="55">
        <f>G17+G18+G19+G20+G21+G22+G23+G24+G25</f>
        <v>0</v>
      </c>
      <c r="H16" s="55">
        <f t="shared" ref="H16:I16" si="4">H17+H18+H19+H20+H21+H22+H23+H24+H25</f>
        <v>0</v>
      </c>
      <c r="I16" s="55">
        <f t="shared" si="4"/>
        <v>0</v>
      </c>
      <c r="J16" s="127">
        <f>J17+J18+J19+J25+J20+J21+J22+J23+J24</f>
        <v>11200000</v>
      </c>
      <c r="K16" s="219" t="s">
        <v>139</v>
      </c>
      <c r="L16" s="203"/>
      <c r="M16" s="40"/>
    </row>
    <row r="17" spans="1:13" ht="21" customHeight="1" x14ac:dyDescent="0.25">
      <c r="A17" s="96"/>
      <c r="B17" s="202" t="s">
        <v>126</v>
      </c>
      <c r="C17" s="35">
        <v>0.78</v>
      </c>
      <c r="D17" s="50">
        <f t="shared" si="3"/>
        <v>3135954.2</v>
      </c>
      <c r="E17" s="308"/>
      <c r="F17" s="46">
        <f>1600000+35954.2</f>
        <v>1635954.2</v>
      </c>
      <c r="G17" s="174"/>
      <c r="H17" s="53"/>
      <c r="I17" s="54"/>
      <c r="J17" s="61">
        <v>1500000</v>
      </c>
      <c r="K17" s="310" t="s">
        <v>184</v>
      </c>
      <c r="L17" s="203"/>
    </row>
    <row r="18" spans="1:13" ht="20.25" customHeight="1" x14ac:dyDescent="0.25">
      <c r="A18" s="97"/>
      <c r="B18" s="202" t="s">
        <v>124</v>
      </c>
      <c r="C18" s="35">
        <v>0.75</v>
      </c>
      <c r="D18" s="50">
        <f t="shared" si="3"/>
        <v>3167007.6</v>
      </c>
      <c r="E18" s="308"/>
      <c r="F18" s="46">
        <v>2167007.6</v>
      </c>
      <c r="G18" s="42"/>
      <c r="H18" s="67"/>
      <c r="I18" s="55"/>
      <c r="J18" s="61">
        <v>1000000</v>
      </c>
      <c r="K18" s="310"/>
      <c r="L18" s="203"/>
    </row>
    <row r="19" spans="1:13" ht="20.25" customHeight="1" x14ac:dyDescent="0.25">
      <c r="A19" s="97"/>
      <c r="B19" s="202" t="s">
        <v>125</v>
      </c>
      <c r="C19" s="35">
        <v>0.54</v>
      </c>
      <c r="D19" s="50">
        <f t="shared" si="3"/>
        <v>3231442.7</v>
      </c>
      <c r="E19" s="308"/>
      <c r="F19" s="46">
        <v>3231442.7</v>
      </c>
      <c r="G19" s="174"/>
      <c r="H19" s="53"/>
      <c r="I19" s="54"/>
      <c r="J19" s="127"/>
      <c r="K19" s="310"/>
      <c r="L19" s="203"/>
      <c r="M19" s="204"/>
    </row>
    <row r="20" spans="1:13" ht="62.25" customHeight="1" x14ac:dyDescent="0.25">
      <c r="A20" s="97"/>
      <c r="B20" s="221" t="s">
        <v>138</v>
      </c>
      <c r="C20" s="35">
        <v>0.75</v>
      </c>
      <c r="D20" s="50">
        <f t="shared" si="3"/>
        <v>3000000</v>
      </c>
      <c r="E20" s="308"/>
      <c r="F20" s="46"/>
      <c r="G20" s="174"/>
      <c r="H20" s="53"/>
      <c r="I20" s="54"/>
      <c r="J20" s="126">
        <v>3000000</v>
      </c>
      <c r="K20" s="212" t="s">
        <v>176</v>
      </c>
      <c r="M20" s="40"/>
    </row>
    <row r="21" spans="1:13" x14ac:dyDescent="0.25">
      <c r="A21" s="97"/>
      <c r="B21" s="198" t="s">
        <v>131</v>
      </c>
      <c r="C21" s="35">
        <v>0.2</v>
      </c>
      <c r="D21" s="50">
        <f t="shared" si="3"/>
        <v>850000</v>
      </c>
      <c r="E21" s="308"/>
      <c r="F21" s="38"/>
      <c r="G21" s="52"/>
      <c r="H21" s="53"/>
      <c r="I21" s="54"/>
      <c r="J21" s="126">
        <v>850000</v>
      </c>
      <c r="K21" s="196" t="s">
        <v>48</v>
      </c>
      <c r="M21" s="204"/>
    </row>
    <row r="22" spans="1:13" x14ac:dyDescent="0.25">
      <c r="A22" s="97"/>
      <c r="B22" s="198" t="s">
        <v>132</v>
      </c>
      <c r="C22" s="35">
        <v>0.16</v>
      </c>
      <c r="D22" s="50">
        <f t="shared" si="3"/>
        <v>750000</v>
      </c>
      <c r="E22" s="308"/>
      <c r="F22" s="38"/>
      <c r="G22" s="52"/>
      <c r="H22" s="53"/>
      <c r="I22" s="54"/>
      <c r="J22" s="126">
        <f>750000</f>
        <v>750000</v>
      </c>
      <c r="K22" s="197" t="s">
        <v>48</v>
      </c>
    </row>
    <row r="23" spans="1:13" x14ac:dyDescent="0.25">
      <c r="A23" s="97"/>
      <c r="B23" s="198" t="s">
        <v>133</v>
      </c>
      <c r="C23" s="35">
        <v>0.18</v>
      </c>
      <c r="D23" s="50">
        <f t="shared" si="3"/>
        <v>800000</v>
      </c>
      <c r="E23" s="308"/>
      <c r="F23" s="38"/>
      <c r="G23" s="33"/>
      <c r="H23" s="67"/>
      <c r="I23" s="157"/>
      <c r="J23" s="127">
        <f>800000</f>
        <v>800000</v>
      </c>
      <c r="K23" s="6" t="s">
        <v>48</v>
      </c>
    </row>
    <row r="24" spans="1:13" x14ac:dyDescent="0.25">
      <c r="A24" s="97"/>
      <c r="B24" s="198" t="s">
        <v>134</v>
      </c>
      <c r="C24" s="35">
        <v>0.38</v>
      </c>
      <c r="D24" s="50">
        <f t="shared" si="3"/>
        <v>1700000</v>
      </c>
      <c r="E24" s="308"/>
      <c r="F24" s="38"/>
      <c r="G24" s="33"/>
      <c r="H24" s="67"/>
      <c r="I24" s="157"/>
      <c r="J24" s="127">
        <v>1700000</v>
      </c>
      <c r="K24" s="196" t="s">
        <v>48</v>
      </c>
    </row>
    <row r="25" spans="1:13" x14ac:dyDescent="0.25">
      <c r="A25" s="95"/>
      <c r="B25" s="177" t="s">
        <v>69</v>
      </c>
      <c r="C25" s="35">
        <v>0.38</v>
      </c>
      <c r="D25" s="50">
        <f t="shared" si="3"/>
        <v>1600000</v>
      </c>
      <c r="E25" s="309"/>
      <c r="F25" s="38"/>
      <c r="G25" s="33"/>
      <c r="H25" s="67"/>
      <c r="I25" s="55"/>
      <c r="J25" s="127">
        <v>1600000</v>
      </c>
      <c r="K25" s="199" t="s">
        <v>48</v>
      </c>
    </row>
    <row r="26" spans="1:13" ht="45.75" customHeight="1" x14ac:dyDescent="0.25">
      <c r="A26" s="104" t="s">
        <v>7</v>
      </c>
      <c r="B26" s="72" t="s">
        <v>68</v>
      </c>
      <c r="C26" s="17">
        <f>C27+C28+C29+C30+C31+C32+C33+C34+C35</f>
        <v>3.0200000000000005</v>
      </c>
      <c r="D26" s="50">
        <f t="shared" si="3"/>
        <v>8210000</v>
      </c>
      <c r="E26" s="285" t="s">
        <v>143</v>
      </c>
      <c r="F26" s="16">
        <f>F27+F28+F29+F30+F31+F32+F33+F34+F35</f>
        <v>0</v>
      </c>
      <c r="G26" s="15">
        <f>G27+G28+G29+G30+G31+G32+G33+G34+G35</f>
        <v>0</v>
      </c>
      <c r="H26" s="15">
        <f>H27+H28+H29+H30+H31+H32+H33+H34+H35</f>
        <v>0</v>
      </c>
      <c r="I26" s="15">
        <f>I27+I28+I29+I30+I31+I32+I33+I34+I35</f>
        <v>2930000</v>
      </c>
      <c r="J26" s="159">
        <f>J27+J28+J29+J30+J31+J32+J33+J34+J35</f>
        <v>5280000</v>
      </c>
      <c r="K26" s="223" t="s">
        <v>159</v>
      </c>
      <c r="L26" s="201"/>
    </row>
    <row r="27" spans="1:13" ht="77.25" customHeight="1" x14ac:dyDescent="0.25">
      <c r="A27" s="75" t="s">
        <v>30</v>
      </c>
      <c r="B27" s="242" t="s">
        <v>142</v>
      </c>
      <c r="C27" s="35">
        <f>0.6</f>
        <v>0.6</v>
      </c>
      <c r="D27" s="50">
        <f t="shared" si="3"/>
        <v>1350000</v>
      </c>
      <c r="E27" s="305" t="s">
        <v>143</v>
      </c>
      <c r="F27" s="38"/>
      <c r="G27" s="173"/>
      <c r="H27" s="74"/>
      <c r="I27" s="243">
        <v>1350000</v>
      </c>
      <c r="J27" s="160"/>
      <c r="K27" s="212" t="s">
        <v>192</v>
      </c>
      <c r="L27" s="230"/>
    </row>
    <row r="28" spans="1:13" ht="61.5" customHeight="1" x14ac:dyDescent="0.25">
      <c r="A28" s="200" t="s">
        <v>31</v>
      </c>
      <c r="B28" s="99" t="s">
        <v>103</v>
      </c>
      <c r="C28" s="35">
        <v>0.22</v>
      </c>
      <c r="D28" s="50">
        <f t="shared" si="3"/>
        <v>600000</v>
      </c>
      <c r="E28" s="306"/>
      <c r="F28" s="38"/>
      <c r="G28" s="73"/>
      <c r="H28" s="74"/>
      <c r="I28" s="54"/>
      <c r="J28" s="160">
        <v>600000</v>
      </c>
      <c r="K28" s="289" t="s">
        <v>215</v>
      </c>
      <c r="L28" s="203"/>
    </row>
    <row r="29" spans="1:13" ht="62.25" customHeight="1" x14ac:dyDescent="0.25">
      <c r="A29" s="200" t="s">
        <v>32</v>
      </c>
      <c r="B29" s="99" t="s">
        <v>104</v>
      </c>
      <c r="C29" s="35">
        <v>0.21</v>
      </c>
      <c r="D29" s="50">
        <f t="shared" si="3"/>
        <v>310000</v>
      </c>
      <c r="E29" s="306"/>
      <c r="F29" s="38"/>
      <c r="G29" s="73"/>
      <c r="H29" s="74"/>
      <c r="I29" s="54"/>
      <c r="J29" s="160">
        <v>310000</v>
      </c>
      <c r="K29" s="223" t="s">
        <v>177</v>
      </c>
      <c r="L29" s="203"/>
    </row>
    <row r="30" spans="1:13" ht="60" x14ac:dyDescent="0.25">
      <c r="A30" s="200" t="s">
        <v>33</v>
      </c>
      <c r="B30" s="77" t="s">
        <v>70</v>
      </c>
      <c r="C30" s="35">
        <v>0.15</v>
      </c>
      <c r="D30" s="50">
        <f t="shared" si="3"/>
        <v>420000</v>
      </c>
      <c r="E30" s="306"/>
      <c r="F30" s="38"/>
      <c r="G30" s="73"/>
      <c r="H30" s="74"/>
      <c r="I30" s="157"/>
      <c r="J30" s="161">
        <v>420000</v>
      </c>
      <c r="K30" s="223" t="s">
        <v>185</v>
      </c>
      <c r="L30" s="224"/>
    </row>
    <row r="31" spans="1:13" ht="76.5" customHeight="1" x14ac:dyDescent="0.25">
      <c r="A31" s="200" t="s">
        <v>34</v>
      </c>
      <c r="B31" s="77" t="s">
        <v>71</v>
      </c>
      <c r="C31" s="35">
        <v>0.13</v>
      </c>
      <c r="D31" s="50">
        <f t="shared" si="3"/>
        <v>340000</v>
      </c>
      <c r="E31" s="306"/>
      <c r="F31" s="38"/>
      <c r="G31" s="33"/>
      <c r="H31" s="67"/>
      <c r="I31" s="157"/>
      <c r="J31" s="162">
        <v>340000</v>
      </c>
      <c r="K31" s="223" t="s">
        <v>193</v>
      </c>
      <c r="L31" s="203"/>
    </row>
    <row r="32" spans="1:13" ht="75" customHeight="1" x14ac:dyDescent="0.25">
      <c r="A32" s="200" t="s">
        <v>35</v>
      </c>
      <c r="B32" s="77" t="s">
        <v>72</v>
      </c>
      <c r="C32" s="35">
        <v>0.26</v>
      </c>
      <c r="D32" s="50">
        <f t="shared" si="3"/>
        <v>700000</v>
      </c>
      <c r="E32" s="306"/>
      <c r="F32" s="38"/>
      <c r="G32" s="33"/>
      <c r="H32" s="55"/>
      <c r="I32" s="157"/>
      <c r="J32" s="161">
        <v>700000</v>
      </c>
      <c r="K32" s="212" t="s">
        <v>194</v>
      </c>
      <c r="L32" s="203"/>
    </row>
    <row r="33" spans="1:13" ht="73.5" customHeight="1" x14ac:dyDescent="0.25">
      <c r="A33" s="200" t="s">
        <v>36</v>
      </c>
      <c r="B33" s="77" t="s">
        <v>73</v>
      </c>
      <c r="C33" s="35">
        <v>0.34</v>
      </c>
      <c r="D33" s="50">
        <f t="shared" si="3"/>
        <v>1150000</v>
      </c>
      <c r="E33" s="306"/>
      <c r="F33" s="38"/>
      <c r="G33" s="33"/>
      <c r="H33" s="67"/>
      <c r="I33" s="158"/>
      <c r="J33" s="163">
        <v>1150000</v>
      </c>
      <c r="K33" s="251" t="s">
        <v>195</v>
      </c>
      <c r="L33" s="203"/>
    </row>
    <row r="34" spans="1:13" ht="62.25" customHeight="1" x14ac:dyDescent="0.25">
      <c r="A34" s="200" t="s">
        <v>37</v>
      </c>
      <c r="B34" s="102" t="s">
        <v>102</v>
      </c>
      <c r="C34" s="35">
        <v>0.68</v>
      </c>
      <c r="D34" s="50">
        <f t="shared" si="3"/>
        <v>1760000</v>
      </c>
      <c r="E34" s="306"/>
      <c r="F34" s="276"/>
      <c r="G34" s="33"/>
      <c r="H34" s="67"/>
      <c r="I34" s="157"/>
      <c r="J34" s="161">
        <v>1760000</v>
      </c>
      <c r="K34" s="212" t="s">
        <v>178</v>
      </c>
      <c r="L34" s="203"/>
    </row>
    <row r="35" spans="1:13" ht="90.75" customHeight="1" x14ac:dyDescent="0.25">
      <c r="A35" s="222" t="s">
        <v>140</v>
      </c>
      <c r="B35" s="244" t="s">
        <v>141</v>
      </c>
      <c r="C35" s="35">
        <v>0.43</v>
      </c>
      <c r="D35" s="50">
        <f t="shared" si="3"/>
        <v>1580000</v>
      </c>
      <c r="E35" s="255"/>
      <c r="F35" s="38"/>
      <c r="G35" s="38"/>
      <c r="H35" s="256"/>
      <c r="I35" s="115">
        <v>1580000</v>
      </c>
      <c r="J35" s="127"/>
      <c r="K35" s="216" t="s">
        <v>205</v>
      </c>
      <c r="L35" s="40"/>
      <c r="M35" s="40"/>
    </row>
    <row r="36" spans="1:13" ht="30" x14ac:dyDescent="0.25">
      <c r="A36" s="104" t="s">
        <v>8</v>
      </c>
      <c r="B36" s="290" t="s">
        <v>216</v>
      </c>
      <c r="C36" s="17">
        <v>0.3</v>
      </c>
      <c r="D36" s="50">
        <f t="shared" si="3"/>
        <v>300000</v>
      </c>
      <c r="E36" s="250">
        <v>2022</v>
      </c>
      <c r="F36" s="16">
        <v>0</v>
      </c>
      <c r="G36" s="16">
        <v>0</v>
      </c>
      <c r="H36" s="16">
        <v>300000</v>
      </c>
      <c r="I36" s="111">
        <v>0</v>
      </c>
      <c r="J36" s="29">
        <v>0</v>
      </c>
      <c r="K36" s="122" t="s">
        <v>144</v>
      </c>
      <c r="L36" s="40"/>
    </row>
    <row r="37" spans="1:13" ht="31.5" customHeight="1" x14ac:dyDescent="0.25">
      <c r="A37" s="104" t="s">
        <v>9</v>
      </c>
      <c r="B37" s="14" t="s">
        <v>40</v>
      </c>
      <c r="C37" s="17">
        <f>C38+C39</f>
        <v>0.30000000000000004</v>
      </c>
      <c r="D37" s="50">
        <f t="shared" si="3"/>
        <v>1160000</v>
      </c>
      <c r="E37" s="250" t="s">
        <v>109</v>
      </c>
      <c r="F37" s="16">
        <f>F38+F39</f>
        <v>0</v>
      </c>
      <c r="G37" s="16">
        <f>G38+G39</f>
        <v>0</v>
      </c>
      <c r="H37" s="16">
        <f>H38+H39</f>
        <v>0</v>
      </c>
      <c r="I37" s="111">
        <f>I38+I39</f>
        <v>0</v>
      </c>
      <c r="J37" s="29">
        <v>1160000</v>
      </c>
      <c r="K37" s="6"/>
      <c r="L37" s="40"/>
    </row>
    <row r="38" spans="1:13" x14ac:dyDescent="0.25">
      <c r="A38" s="132" t="s">
        <v>30</v>
      </c>
      <c r="B38" s="130" t="s">
        <v>41</v>
      </c>
      <c r="C38" s="19">
        <v>0.2</v>
      </c>
      <c r="D38" s="50">
        <f t="shared" si="3"/>
        <v>770000</v>
      </c>
      <c r="E38" s="178" t="s">
        <v>109</v>
      </c>
      <c r="F38" s="11"/>
      <c r="G38" s="12"/>
      <c r="H38" s="12"/>
      <c r="I38" s="114"/>
      <c r="J38" s="28">
        <v>770000</v>
      </c>
      <c r="K38" s="122" t="s">
        <v>48</v>
      </c>
    </row>
    <row r="39" spans="1:13" x14ac:dyDescent="0.25">
      <c r="A39" s="132" t="s">
        <v>31</v>
      </c>
      <c r="B39" s="130" t="s">
        <v>42</v>
      </c>
      <c r="C39" s="19">
        <v>0.1</v>
      </c>
      <c r="D39" s="50">
        <f t="shared" si="3"/>
        <v>385000</v>
      </c>
      <c r="E39" s="178" t="s">
        <v>109</v>
      </c>
      <c r="F39" s="11"/>
      <c r="G39" s="12"/>
      <c r="H39" s="12"/>
      <c r="I39" s="114"/>
      <c r="J39" s="28">
        <v>385000</v>
      </c>
      <c r="K39" s="6" t="s">
        <v>48</v>
      </c>
    </row>
    <row r="40" spans="1:13" ht="17.25" customHeight="1" x14ac:dyDescent="0.25">
      <c r="A40" s="104" t="s">
        <v>10</v>
      </c>
      <c r="B40" s="14" t="s">
        <v>44</v>
      </c>
      <c r="C40" s="17">
        <f>C42+C41</f>
        <v>0.38</v>
      </c>
      <c r="D40" s="50">
        <f t="shared" si="3"/>
        <v>1030000</v>
      </c>
      <c r="E40" s="144" t="s">
        <v>115</v>
      </c>
      <c r="F40" s="16">
        <f>F42+F41</f>
        <v>0</v>
      </c>
      <c r="G40" s="16">
        <f t="shared" ref="G40:J40" si="5">G42+G41</f>
        <v>0</v>
      </c>
      <c r="H40" s="16">
        <f t="shared" si="5"/>
        <v>0</v>
      </c>
      <c r="I40" s="189">
        <f t="shared" si="5"/>
        <v>0</v>
      </c>
      <c r="J40" s="191">
        <f t="shared" si="5"/>
        <v>1030000</v>
      </c>
      <c r="K40" s="196"/>
      <c r="L40" s="40"/>
    </row>
    <row r="41" spans="1:13" ht="32.25" customHeight="1" x14ac:dyDescent="0.25">
      <c r="A41" s="184" t="s">
        <v>30</v>
      </c>
      <c r="B41" s="94" t="s">
        <v>83</v>
      </c>
      <c r="C41" s="19">
        <v>0.2</v>
      </c>
      <c r="D41" s="50">
        <f t="shared" si="3"/>
        <v>550000</v>
      </c>
      <c r="E41" s="145" t="s">
        <v>109</v>
      </c>
      <c r="F41" s="11"/>
      <c r="G41" s="65"/>
      <c r="H41" s="65"/>
      <c r="I41" s="114"/>
      <c r="J41" s="45">
        <v>550000</v>
      </c>
      <c r="K41" s="106" t="s">
        <v>48</v>
      </c>
    </row>
    <row r="42" spans="1:13" ht="60" x14ac:dyDescent="0.25">
      <c r="A42" s="184" t="s">
        <v>31</v>
      </c>
      <c r="B42" s="283" t="s">
        <v>206</v>
      </c>
      <c r="C42" s="19">
        <v>0.18</v>
      </c>
      <c r="D42" s="50">
        <f t="shared" si="3"/>
        <v>480000</v>
      </c>
      <c r="E42" s="206" t="s">
        <v>109</v>
      </c>
      <c r="F42" s="205"/>
      <c r="G42" s="12"/>
      <c r="H42" s="12"/>
      <c r="I42" s="114"/>
      <c r="J42" s="28">
        <v>480000</v>
      </c>
      <c r="K42" s="6" t="s">
        <v>160</v>
      </c>
      <c r="L42" s="40"/>
    </row>
    <row r="43" spans="1:13" ht="21" customHeight="1" x14ac:dyDescent="0.25">
      <c r="A43" s="104" t="s">
        <v>11</v>
      </c>
      <c r="B43" s="104" t="s">
        <v>111</v>
      </c>
      <c r="C43" s="14">
        <v>0.47</v>
      </c>
      <c r="D43" s="50">
        <f t="shared" si="3"/>
        <v>1300000</v>
      </c>
      <c r="E43" s="147">
        <v>2022</v>
      </c>
      <c r="F43" s="16">
        <v>0</v>
      </c>
      <c r="G43" s="15">
        <v>0</v>
      </c>
      <c r="H43" s="15">
        <v>0</v>
      </c>
      <c r="I43" s="111">
        <v>1300000</v>
      </c>
      <c r="J43" s="29">
        <v>0</v>
      </c>
      <c r="K43" s="106" t="s">
        <v>48</v>
      </c>
    </row>
    <row r="44" spans="1:13" ht="18.75" customHeight="1" x14ac:dyDescent="0.25">
      <c r="A44" s="133" t="s">
        <v>12</v>
      </c>
      <c r="B44" s="14" t="s">
        <v>43</v>
      </c>
      <c r="C44" s="17">
        <f>C45+C46</f>
        <v>0.56000000000000005</v>
      </c>
      <c r="D44" s="50">
        <f t="shared" si="3"/>
        <v>2160000</v>
      </c>
      <c r="E44" s="148" t="s">
        <v>109</v>
      </c>
      <c r="F44" s="16">
        <f>F45+F46</f>
        <v>0</v>
      </c>
      <c r="G44" s="16">
        <f>G45+G46</f>
        <v>0</v>
      </c>
      <c r="H44" s="16">
        <f t="shared" ref="H44:J44" si="6">H45+H46</f>
        <v>620000</v>
      </c>
      <c r="I44" s="111">
        <f t="shared" si="6"/>
        <v>0</v>
      </c>
      <c r="J44" s="29">
        <f t="shared" si="6"/>
        <v>1540000</v>
      </c>
      <c r="K44" s="3"/>
    </row>
    <row r="45" spans="1:13" ht="51" customHeight="1" x14ac:dyDescent="0.25">
      <c r="A45" s="43" t="s">
        <v>30</v>
      </c>
      <c r="B45" s="13" t="s">
        <v>38</v>
      </c>
      <c r="C45" s="19">
        <v>0.4</v>
      </c>
      <c r="D45" s="50">
        <f t="shared" si="3"/>
        <v>1540000</v>
      </c>
      <c r="E45" s="145" t="s">
        <v>109</v>
      </c>
      <c r="F45" s="11"/>
      <c r="G45" s="12"/>
      <c r="H45" s="12"/>
      <c r="I45" s="114"/>
      <c r="J45" s="28">
        <v>1540000</v>
      </c>
      <c r="K45" s="266" t="s">
        <v>154</v>
      </c>
      <c r="L45" s="93"/>
    </row>
    <row r="46" spans="1:13" ht="15.75" customHeight="1" x14ac:dyDescent="0.25">
      <c r="A46" s="43" t="s">
        <v>31</v>
      </c>
      <c r="B46" s="94" t="s">
        <v>96</v>
      </c>
      <c r="C46" s="13">
        <v>0.16</v>
      </c>
      <c r="D46" s="50">
        <f t="shared" si="3"/>
        <v>620000</v>
      </c>
      <c r="E46" s="145">
        <v>2022</v>
      </c>
      <c r="F46" s="11"/>
      <c r="G46" s="12"/>
      <c r="H46" s="12">
        <v>620000</v>
      </c>
      <c r="I46" s="114"/>
      <c r="J46" s="45"/>
      <c r="K46" s="196" t="s">
        <v>173</v>
      </c>
      <c r="L46" s="93"/>
    </row>
    <row r="47" spans="1:13" ht="16.5" customHeight="1" x14ac:dyDescent="0.25">
      <c r="A47" s="133" t="s">
        <v>13</v>
      </c>
      <c r="B47" s="88" t="s">
        <v>39</v>
      </c>
      <c r="C47" s="17">
        <f>C48+C49+C51+C50</f>
        <v>0.69000000000000006</v>
      </c>
      <c r="D47" s="50">
        <f t="shared" si="3"/>
        <v>2731144</v>
      </c>
      <c r="E47" s="250" t="s">
        <v>157</v>
      </c>
      <c r="F47" s="16">
        <f>F48+F49+F51+F50</f>
        <v>1171144</v>
      </c>
      <c r="G47" s="15">
        <f>G48+G49+G51+G50</f>
        <v>0</v>
      </c>
      <c r="H47" s="15">
        <f t="shared" ref="H47:J47" si="7">H48+H49+H51+H50</f>
        <v>650000</v>
      </c>
      <c r="I47" s="111">
        <f t="shared" si="7"/>
        <v>910000</v>
      </c>
      <c r="J47" s="29">
        <f t="shared" si="7"/>
        <v>0</v>
      </c>
      <c r="K47" s="124"/>
    </row>
    <row r="48" spans="1:13" ht="75" x14ac:dyDescent="0.25">
      <c r="A48" s="10" t="s">
        <v>30</v>
      </c>
      <c r="B48" s="86" t="s">
        <v>82</v>
      </c>
      <c r="C48" s="13">
        <v>0.15</v>
      </c>
      <c r="D48" s="50">
        <f t="shared" si="3"/>
        <v>650000</v>
      </c>
      <c r="E48" s="149">
        <v>2022</v>
      </c>
      <c r="F48" s="11"/>
      <c r="G48" s="42"/>
      <c r="H48" s="12">
        <v>650000</v>
      </c>
      <c r="I48" s="114"/>
      <c r="J48" s="28"/>
      <c r="K48" s="209" t="s">
        <v>179</v>
      </c>
      <c r="L48" s="93"/>
    </row>
    <row r="49" spans="1:14" ht="60.75" customHeight="1" x14ac:dyDescent="0.25">
      <c r="A49" s="10" t="s">
        <v>31</v>
      </c>
      <c r="B49" s="87" t="s">
        <v>88</v>
      </c>
      <c r="C49" s="13">
        <v>0.28000000000000003</v>
      </c>
      <c r="D49" s="50">
        <f t="shared" si="3"/>
        <v>498006</v>
      </c>
      <c r="E49" s="149">
        <v>2020</v>
      </c>
      <c r="F49" s="46">
        <f>261234+160162+16530+60080</f>
        <v>498006</v>
      </c>
      <c r="G49" s="42"/>
      <c r="H49" s="12"/>
      <c r="I49" s="114"/>
      <c r="J49" s="28"/>
      <c r="K49" s="209" t="s">
        <v>186</v>
      </c>
      <c r="L49" s="208"/>
      <c r="M49" s="40"/>
      <c r="N49" s="76"/>
    </row>
    <row r="50" spans="1:14" ht="60" customHeight="1" x14ac:dyDescent="0.25">
      <c r="A50" s="71" t="s">
        <v>32</v>
      </c>
      <c r="B50" s="94" t="s">
        <v>97</v>
      </c>
      <c r="C50" s="13">
        <v>0.11</v>
      </c>
      <c r="D50" s="50">
        <f t="shared" si="3"/>
        <v>673138</v>
      </c>
      <c r="E50" s="143">
        <v>2020</v>
      </c>
      <c r="F50" s="46">
        <f>237678+140679+48391+246390</f>
        <v>673138</v>
      </c>
      <c r="G50" s="42"/>
      <c r="H50" s="12"/>
      <c r="I50" s="114"/>
      <c r="J50" s="28"/>
      <c r="K50" s="209" t="s">
        <v>187</v>
      </c>
      <c r="L50" s="201"/>
      <c r="M50" s="76"/>
      <c r="N50" s="76"/>
    </row>
    <row r="51" spans="1:14" ht="105.75" customHeight="1" x14ac:dyDescent="0.25">
      <c r="A51" s="71" t="s">
        <v>33</v>
      </c>
      <c r="B51" s="59" t="s">
        <v>98</v>
      </c>
      <c r="C51" s="13">
        <v>0.15</v>
      </c>
      <c r="D51" s="50">
        <f t="shared" si="3"/>
        <v>910000</v>
      </c>
      <c r="E51" s="146">
        <v>2023</v>
      </c>
      <c r="F51" s="46"/>
      <c r="G51" s="42"/>
      <c r="H51" s="12"/>
      <c r="I51" s="114">
        <v>910000</v>
      </c>
      <c r="J51" s="28"/>
      <c r="K51" s="209" t="s">
        <v>180</v>
      </c>
      <c r="L51" s="93"/>
      <c r="M51" s="40"/>
    </row>
    <row r="52" spans="1:14" ht="60.75" customHeight="1" x14ac:dyDescent="0.25">
      <c r="A52" s="133" t="s">
        <v>14</v>
      </c>
      <c r="B52" s="100" t="s">
        <v>105</v>
      </c>
      <c r="C52" s="17">
        <v>0.4</v>
      </c>
      <c r="D52" s="50">
        <f t="shared" si="3"/>
        <v>2564608</v>
      </c>
      <c r="E52" s="176">
        <v>2020</v>
      </c>
      <c r="F52" s="16">
        <f>2564608</f>
        <v>2564608</v>
      </c>
      <c r="G52" s="15">
        <v>0</v>
      </c>
      <c r="H52" s="15">
        <v>0</v>
      </c>
      <c r="I52" s="111">
        <v>0</v>
      </c>
      <c r="J52" s="29">
        <v>0</v>
      </c>
      <c r="K52" s="213" t="s">
        <v>188</v>
      </c>
      <c r="M52" s="40"/>
    </row>
    <row r="53" spans="1:14" ht="15.75" customHeight="1" x14ac:dyDescent="0.25">
      <c r="A53" s="133" t="s">
        <v>15</v>
      </c>
      <c r="B53" s="92" t="s">
        <v>99</v>
      </c>
      <c r="C53" s="14">
        <f>C54+C55</f>
        <v>1.63</v>
      </c>
      <c r="D53" s="50">
        <f t="shared" si="3"/>
        <v>4470000</v>
      </c>
      <c r="E53" s="148" t="s">
        <v>109</v>
      </c>
      <c r="F53" s="16">
        <f t="shared" ref="F53:G53" si="8">F54+F55</f>
        <v>0</v>
      </c>
      <c r="G53" s="16">
        <f t="shared" si="8"/>
        <v>0</v>
      </c>
      <c r="H53" s="16">
        <f t="shared" ref="H53:J53" si="9">H54+H55</f>
        <v>0</v>
      </c>
      <c r="I53" s="111">
        <f t="shared" si="9"/>
        <v>2370000</v>
      </c>
      <c r="J53" s="29">
        <f t="shared" si="9"/>
        <v>2100000</v>
      </c>
      <c r="K53" s="313" t="s">
        <v>48</v>
      </c>
    </row>
    <row r="54" spans="1:14" ht="32.25" customHeight="1" x14ac:dyDescent="0.25">
      <c r="A54" s="10" t="s">
        <v>30</v>
      </c>
      <c r="B54" s="87" t="s">
        <v>63</v>
      </c>
      <c r="C54" s="13">
        <v>0.77</v>
      </c>
      <c r="D54" s="50">
        <f t="shared" si="3"/>
        <v>2100000</v>
      </c>
      <c r="E54" s="145" t="s">
        <v>109</v>
      </c>
      <c r="F54" s="11"/>
      <c r="G54" s="12"/>
      <c r="H54" s="12"/>
      <c r="I54" s="114"/>
      <c r="J54" s="28">
        <v>2100000</v>
      </c>
      <c r="K54" s="314"/>
    </row>
    <row r="55" spans="1:14" ht="45" x14ac:dyDescent="0.25">
      <c r="A55" s="10" t="s">
        <v>31</v>
      </c>
      <c r="B55" s="87" t="s">
        <v>62</v>
      </c>
      <c r="C55" s="13">
        <v>0.86</v>
      </c>
      <c r="D55" s="50">
        <f t="shared" si="3"/>
        <v>2370000</v>
      </c>
      <c r="E55" s="178">
        <v>2023</v>
      </c>
      <c r="F55" s="11"/>
      <c r="G55" s="12"/>
      <c r="H55" s="12"/>
      <c r="I55" s="114">
        <v>2370000</v>
      </c>
      <c r="J55" s="28"/>
      <c r="K55" s="315"/>
    </row>
    <row r="56" spans="1:14" ht="30.75" customHeight="1" x14ac:dyDescent="0.25">
      <c r="A56" s="133" t="s">
        <v>16</v>
      </c>
      <c r="B56" s="14" t="s">
        <v>27</v>
      </c>
      <c r="C56" s="14">
        <v>4.26</v>
      </c>
      <c r="D56" s="50">
        <f t="shared" si="3"/>
        <v>3300000</v>
      </c>
      <c r="E56" s="148" t="s">
        <v>109</v>
      </c>
      <c r="F56" s="16">
        <v>0</v>
      </c>
      <c r="G56" s="15">
        <v>0</v>
      </c>
      <c r="H56" s="15">
        <v>0</v>
      </c>
      <c r="I56" s="111">
        <v>0</v>
      </c>
      <c r="J56" s="29">
        <v>3300000</v>
      </c>
      <c r="K56" s="6" t="s">
        <v>48</v>
      </c>
    </row>
    <row r="57" spans="1:14" ht="45" customHeight="1" x14ac:dyDescent="0.25">
      <c r="A57" s="133" t="s">
        <v>17</v>
      </c>
      <c r="B57" s="14" t="s">
        <v>28</v>
      </c>
      <c r="C57" s="17">
        <f>1.42</f>
        <v>1.42</v>
      </c>
      <c r="D57" s="50">
        <f t="shared" si="3"/>
        <v>916813.3</v>
      </c>
      <c r="E57" s="148" t="s">
        <v>109</v>
      </c>
      <c r="F57" s="16">
        <f>96813.3</f>
        <v>96813.3</v>
      </c>
      <c r="G57" s="15">
        <v>120000</v>
      </c>
      <c r="H57" s="15">
        <v>0</v>
      </c>
      <c r="I57" s="111">
        <v>0</v>
      </c>
      <c r="J57" s="29">
        <v>700000</v>
      </c>
      <c r="K57" s="213" t="s">
        <v>207</v>
      </c>
    </row>
    <row r="58" spans="1:14" ht="16.5" customHeight="1" x14ac:dyDescent="0.25">
      <c r="A58" s="133" t="s">
        <v>18</v>
      </c>
      <c r="B58" s="39" t="s">
        <v>61</v>
      </c>
      <c r="C58" s="17">
        <v>1.4</v>
      </c>
      <c r="D58" s="50">
        <f t="shared" si="3"/>
        <v>2200000</v>
      </c>
      <c r="E58" s="148" t="s">
        <v>109</v>
      </c>
      <c r="F58" s="16">
        <v>0</v>
      </c>
      <c r="G58" s="15">
        <v>0</v>
      </c>
      <c r="H58" s="15">
        <v>0</v>
      </c>
      <c r="I58" s="111">
        <v>0</v>
      </c>
      <c r="J58" s="29">
        <v>2200000</v>
      </c>
      <c r="K58" s="6" t="s">
        <v>48</v>
      </c>
      <c r="M58" s="231"/>
      <c r="N58" s="232"/>
    </row>
    <row r="59" spans="1:14" ht="16.5" customHeight="1" x14ac:dyDescent="0.25">
      <c r="A59" s="133" t="s">
        <v>19</v>
      </c>
      <c r="B59" s="133" t="s">
        <v>116</v>
      </c>
      <c r="C59" s="17">
        <f>C60+C61</f>
        <v>2.4000000000000004</v>
      </c>
      <c r="D59" s="50">
        <f t="shared" si="3"/>
        <v>9200000</v>
      </c>
      <c r="E59" s="144" t="s">
        <v>117</v>
      </c>
      <c r="F59" s="16">
        <f>F60+F61</f>
        <v>0</v>
      </c>
      <c r="G59" s="16">
        <f>G60+G61</f>
        <v>0</v>
      </c>
      <c r="H59" s="16">
        <f>H60+H61</f>
        <v>6000000</v>
      </c>
      <c r="I59" s="111">
        <f>I60+I61</f>
        <v>0</v>
      </c>
      <c r="J59" s="29">
        <f>J60+J61</f>
        <v>3200000</v>
      </c>
      <c r="K59" s="3"/>
    </row>
    <row r="60" spans="1:14" ht="68.25" customHeight="1" x14ac:dyDescent="0.25">
      <c r="A60" s="134" t="s">
        <v>30</v>
      </c>
      <c r="B60" s="91" t="s">
        <v>91</v>
      </c>
      <c r="C60" s="69">
        <v>1.6</v>
      </c>
      <c r="D60" s="50">
        <f t="shared" si="3"/>
        <v>7000000</v>
      </c>
      <c r="E60" s="207">
        <v>2022</v>
      </c>
      <c r="F60" s="46"/>
      <c r="G60" s="42"/>
      <c r="H60" s="63">
        <v>6000000</v>
      </c>
      <c r="I60" s="116"/>
      <c r="J60" s="45">
        <v>1000000</v>
      </c>
      <c r="K60" s="213" t="s">
        <v>214</v>
      </c>
    </row>
    <row r="61" spans="1:14" ht="16.5" customHeight="1" x14ac:dyDescent="0.25">
      <c r="A61" s="134" t="s">
        <v>31</v>
      </c>
      <c r="B61" s="210" t="s">
        <v>67</v>
      </c>
      <c r="C61" s="69">
        <v>0.8</v>
      </c>
      <c r="D61" s="50">
        <f t="shared" si="3"/>
        <v>2200000</v>
      </c>
      <c r="E61" s="151" t="s">
        <v>109</v>
      </c>
      <c r="F61" s="46"/>
      <c r="G61" s="42"/>
      <c r="H61" s="70"/>
      <c r="I61" s="116"/>
      <c r="J61" s="45">
        <v>2200000</v>
      </c>
      <c r="K61" s="6" t="s">
        <v>48</v>
      </c>
    </row>
    <row r="62" spans="1:14" ht="15" customHeight="1" x14ac:dyDescent="0.25">
      <c r="A62" s="133" t="s">
        <v>20</v>
      </c>
      <c r="B62" s="92" t="s">
        <v>100</v>
      </c>
      <c r="C62" s="17">
        <v>0.21</v>
      </c>
      <c r="D62" s="50">
        <f t="shared" si="3"/>
        <v>880000</v>
      </c>
      <c r="E62" s="292" t="s">
        <v>109</v>
      </c>
      <c r="F62" s="16">
        <v>0</v>
      </c>
      <c r="G62" s="15">
        <v>0</v>
      </c>
      <c r="H62" s="15">
        <v>0</v>
      </c>
      <c r="I62" s="111">
        <v>0</v>
      </c>
      <c r="J62" s="29">
        <v>880000</v>
      </c>
      <c r="K62" s="6" t="s">
        <v>48</v>
      </c>
    </row>
    <row r="63" spans="1:14" ht="60" customHeight="1" x14ac:dyDescent="0.25">
      <c r="A63" s="133" t="s">
        <v>110</v>
      </c>
      <c r="B63" s="14" t="s">
        <v>47</v>
      </c>
      <c r="C63" s="17">
        <f>C64+C65+C66+C67+C68+C69+C70+C71+C72+C73+C74+C75</f>
        <v>6.1799999999999979</v>
      </c>
      <c r="D63" s="50">
        <f t="shared" si="3"/>
        <v>27295294</v>
      </c>
      <c r="E63" s="250" t="s">
        <v>135</v>
      </c>
      <c r="F63" s="16">
        <f>F64+F65+F66+F67+F68+F69+F70+F71+F72+F73+F74+F75</f>
        <v>4120294</v>
      </c>
      <c r="G63" s="15">
        <f>G64+G65+G66+G67+G68+G69+G70+G71+G72+G73+G74+G75</f>
        <v>0</v>
      </c>
      <c r="H63" s="15">
        <f>H64+H65+H66+H67+H68+H69+H70+H71+H72+H73+H74+H75</f>
        <v>0</v>
      </c>
      <c r="I63" s="111">
        <f>I64+I65+I66+I67+I68+I69+I70+I71+I72+I73+I74+I75</f>
        <v>0</v>
      </c>
      <c r="J63" s="29">
        <f>J64+J65+J66+J67+J68+J69+J70+J71+J72+J73+J74+J75</f>
        <v>23175000</v>
      </c>
      <c r="K63" s="267"/>
    </row>
    <row r="64" spans="1:14" ht="31.5" customHeight="1" x14ac:dyDescent="0.25">
      <c r="A64" s="10" t="s">
        <v>30</v>
      </c>
      <c r="B64" s="80" t="s">
        <v>81</v>
      </c>
      <c r="C64" s="20">
        <v>1.97</v>
      </c>
      <c r="D64" s="50">
        <f t="shared" si="3"/>
        <v>2966294</v>
      </c>
      <c r="E64" s="193">
        <v>2020</v>
      </c>
      <c r="F64" s="173">
        <f>4120294-F65-F66</f>
        <v>2966294</v>
      </c>
      <c r="G64" s="174"/>
      <c r="H64" s="23"/>
      <c r="I64" s="165"/>
      <c r="J64" s="258"/>
      <c r="K64" s="319" t="s">
        <v>208</v>
      </c>
      <c r="L64" s="204"/>
    </row>
    <row r="65" spans="1:15" ht="16.5" customHeight="1" x14ac:dyDescent="0.25">
      <c r="A65" s="253" t="s">
        <v>31</v>
      </c>
      <c r="B65" s="81" t="s">
        <v>74</v>
      </c>
      <c r="C65" s="19">
        <v>0.4</v>
      </c>
      <c r="D65" s="50">
        <f t="shared" si="3"/>
        <v>1222000</v>
      </c>
      <c r="E65" s="145">
        <v>2020</v>
      </c>
      <c r="F65" s="257">
        <v>522000</v>
      </c>
      <c r="G65" s="42"/>
      <c r="H65" s="41"/>
      <c r="I65" s="165"/>
      <c r="J65" s="259">
        <v>700000</v>
      </c>
      <c r="K65" s="320"/>
    </row>
    <row r="66" spans="1:15" ht="28.5" customHeight="1" x14ac:dyDescent="0.25">
      <c r="A66" s="253" t="s">
        <v>32</v>
      </c>
      <c r="B66" s="79" t="s">
        <v>75</v>
      </c>
      <c r="C66" s="19">
        <v>0.4</v>
      </c>
      <c r="D66" s="50">
        <f t="shared" si="3"/>
        <v>1332000</v>
      </c>
      <c r="E66" s="145">
        <v>2020</v>
      </c>
      <c r="F66" s="46">
        <v>632000</v>
      </c>
      <c r="G66" s="42"/>
      <c r="H66" s="41"/>
      <c r="I66" s="119"/>
      <c r="J66" s="45">
        <v>700000</v>
      </c>
      <c r="K66" s="321"/>
      <c r="L66" s="275"/>
    </row>
    <row r="67" spans="1:15" ht="75.75" customHeight="1" x14ac:dyDescent="0.25">
      <c r="A67" s="253" t="s">
        <v>33</v>
      </c>
      <c r="B67" s="79" t="s">
        <v>76</v>
      </c>
      <c r="C67" s="19">
        <v>0.13</v>
      </c>
      <c r="D67" s="50">
        <f t="shared" si="3"/>
        <v>680000</v>
      </c>
      <c r="E67" s="225" t="s">
        <v>109</v>
      </c>
      <c r="F67" s="11"/>
      <c r="G67" s="42"/>
      <c r="H67" s="42"/>
      <c r="I67" s="119"/>
      <c r="J67" s="45">
        <v>680000</v>
      </c>
      <c r="K67" s="209" t="s">
        <v>199</v>
      </c>
      <c r="L67" s="76"/>
    </row>
    <row r="68" spans="1:15" ht="45" x14ac:dyDescent="0.25">
      <c r="A68" s="253" t="s">
        <v>34</v>
      </c>
      <c r="B68" s="79" t="s">
        <v>77</v>
      </c>
      <c r="C68" s="19">
        <v>0.28000000000000003</v>
      </c>
      <c r="D68" s="50">
        <f t="shared" si="3"/>
        <v>605000</v>
      </c>
      <c r="E68" s="105" t="s">
        <v>109</v>
      </c>
      <c r="F68" s="164"/>
      <c r="G68" s="12"/>
      <c r="H68" s="42"/>
      <c r="I68" s="119"/>
      <c r="J68" s="168">
        <v>605000</v>
      </c>
      <c r="K68" s="167" t="s">
        <v>198</v>
      </c>
      <c r="L68" s="235"/>
    </row>
    <row r="69" spans="1:15" ht="45" x14ac:dyDescent="0.25">
      <c r="A69" s="253" t="s">
        <v>35</v>
      </c>
      <c r="B69" s="78" t="s">
        <v>78</v>
      </c>
      <c r="C69" s="20">
        <v>0.25</v>
      </c>
      <c r="D69" s="50">
        <f t="shared" si="3"/>
        <v>560000</v>
      </c>
      <c r="E69" s="145" t="s">
        <v>109</v>
      </c>
      <c r="F69" s="11"/>
      <c r="G69" s="12"/>
      <c r="H69" s="42"/>
      <c r="I69" s="165"/>
      <c r="J69" s="166">
        <v>560000</v>
      </c>
      <c r="K69" s="167" t="s">
        <v>197</v>
      </c>
    </row>
    <row r="70" spans="1:15" ht="77.25" customHeight="1" x14ac:dyDescent="0.25">
      <c r="A70" s="253" t="s">
        <v>36</v>
      </c>
      <c r="B70" s="79" t="s">
        <v>79</v>
      </c>
      <c r="C70" s="19">
        <v>0.25</v>
      </c>
      <c r="D70" s="50">
        <f t="shared" si="3"/>
        <v>580000</v>
      </c>
      <c r="E70" s="225" t="s">
        <v>109</v>
      </c>
      <c r="F70" s="11"/>
      <c r="G70" s="42"/>
      <c r="H70" s="42"/>
      <c r="I70" s="118"/>
      <c r="J70" s="128">
        <v>580000</v>
      </c>
      <c r="K70" s="209" t="s">
        <v>196</v>
      </c>
      <c r="L70" s="40"/>
    </row>
    <row r="71" spans="1:15" ht="77.25" customHeight="1" x14ac:dyDescent="0.25">
      <c r="A71" s="253" t="s">
        <v>37</v>
      </c>
      <c r="B71" s="79" t="s">
        <v>80</v>
      </c>
      <c r="C71" s="19">
        <v>0.35</v>
      </c>
      <c r="D71" s="50">
        <f t="shared" si="3"/>
        <v>1450000</v>
      </c>
      <c r="E71" s="236" t="s">
        <v>109</v>
      </c>
      <c r="F71" s="11"/>
      <c r="G71" s="42"/>
      <c r="H71" s="42"/>
      <c r="I71" s="118"/>
      <c r="J71" s="128">
        <v>1450000</v>
      </c>
      <c r="K71" s="213" t="s">
        <v>209</v>
      </c>
      <c r="L71" s="76"/>
      <c r="O71" s="248"/>
    </row>
    <row r="72" spans="1:15" ht="75" x14ac:dyDescent="0.25">
      <c r="A72" s="253" t="s">
        <v>140</v>
      </c>
      <c r="B72" s="234" t="s">
        <v>150</v>
      </c>
      <c r="C72" s="19">
        <v>0.6</v>
      </c>
      <c r="D72" s="50">
        <f t="shared" si="3"/>
        <v>4400000</v>
      </c>
      <c r="E72" s="225" t="s">
        <v>109</v>
      </c>
      <c r="F72" s="11"/>
      <c r="G72" s="42"/>
      <c r="H72" s="42"/>
      <c r="I72" s="118"/>
      <c r="J72" s="246">
        <v>4400000</v>
      </c>
      <c r="K72" s="212" t="s">
        <v>174</v>
      </c>
      <c r="L72" s="76"/>
      <c r="M72" s="40"/>
      <c r="N72" s="40"/>
      <c r="O72" s="203"/>
    </row>
    <row r="73" spans="1:15" ht="75" x14ac:dyDescent="0.25">
      <c r="A73" s="253" t="s">
        <v>149</v>
      </c>
      <c r="B73" s="234" t="s">
        <v>152</v>
      </c>
      <c r="C73" s="19">
        <v>0.27</v>
      </c>
      <c r="D73" s="50">
        <f t="shared" si="3"/>
        <v>2000000</v>
      </c>
      <c r="E73" s="236" t="s">
        <v>109</v>
      </c>
      <c r="F73" s="164"/>
      <c r="G73" s="42"/>
      <c r="H73" s="42"/>
      <c r="I73" s="118"/>
      <c r="J73" s="246">
        <v>2000000</v>
      </c>
      <c r="K73" s="249" t="s">
        <v>189</v>
      </c>
      <c r="L73" s="204"/>
      <c r="M73" s="40"/>
      <c r="N73" s="40"/>
      <c r="O73" s="203"/>
    </row>
    <row r="74" spans="1:15" ht="77.25" customHeight="1" x14ac:dyDescent="0.25">
      <c r="A74" s="253" t="s">
        <v>151</v>
      </c>
      <c r="B74" s="265" t="s">
        <v>172</v>
      </c>
      <c r="C74" s="19">
        <f>0.89</f>
        <v>0.89</v>
      </c>
      <c r="D74" s="50">
        <f t="shared" si="3"/>
        <v>8550000</v>
      </c>
      <c r="E74" s="264" t="s">
        <v>109</v>
      </c>
      <c r="F74" s="11"/>
      <c r="G74" s="42"/>
      <c r="H74" s="23"/>
      <c r="I74" s="117"/>
      <c r="J74" s="247">
        <v>8550000</v>
      </c>
      <c r="K74" s="252" t="s">
        <v>190</v>
      </c>
      <c r="L74" s="204"/>
      <c r="M74" s="40"/>
      <c r="N74" s="40"/>
      <c r="O74" s="203"/>
    </row>
    <row r="75" spans="1:15" ht="75.75" customHeight="1" x14ac:dyDescent="0.25">
      <c r="A75" s="253" t="s">
        <v>162</v>
      </c>
      <c r="B75" s="254" t="s">
        <v>163</v>
      </c>
      <c r="C75" s="19">
        <v>0.39</v>
      </c>
      <c r="D75" s="50">
        <f t="shared" si="3"/>
        <v>2950000</v>
      </c>
      <c r="E75" s="264" t="s">
        <v>109</v>
      </c>
      <c r="F75" s="11"/>
      <c r="G75" s="42"/>
      <c r="H75" s="268"/>
      <c r="I75" s="118"/>
      <c r="J75" s="128">
        <v>2950000</v>
      </c>
      <c r="K75" s="213" t="s">
        <v>175</v>
      </c>
      <c r="L75" s="204"/>
      <c r="M75" s="40"/>
      <c r="N75" s="40"/>
      <c r="O75" s="203"/>
    </row>
    <row r="76" spans="1:15" x14ac:dyDescent="0.25">
      <c r="A76" s="133" t="s">
        <v>21</v>
      </c>
      <c r="B76" s="36" t="s">
        <v>114</v>
      </c>
      <c r="C76" s="17">
        <f>C77+C78+C79</f>
        <v>0.35</v>
      </c>
      <c r="D76" s="50">
        <f t="shared" si="3"/>
        <v>1183978</v>
      </c>
      <c r="E76" s="142" t="s">
        <v>109</v>
      </c>
      <c r="F76" s="16">
        <f>F77+F78+F79</f>
        <v>0</v>
      </c>
      <c r="G76" s="15">
        <f>G77+G78+G79</f>
        <v>0</v>
      </c>
      <c r="H76" s="15">
        <f>H77+H78+H79</f>
        <v>523978</v>
      </c>
      <c r="I76" s="111">
        <f>I77+I78+I79</f>
        <v>0</v>
      </c>
      <c r="J76" s="29">
        <f>J77+J78+J79</f>
        <v>660000</v>
      </c>
      <c r="K76" s="85"/>
      <c r="O76" s="203"/>
    </row>
    <row r="77" spans="1:15" ht="76.5" customHeight="1" x14ac:dyDescent="0.25">
      <c r="A77" s="58" t="s">
        <v>30</v>
      </c>
      <c r="B77" s="59" t="s">
        <v>94</v>
      </c>
      <c r="C77" s="60">
        <v>0.11</v>
      </c>
      <c r="D77" s="50">
        <f t="shared" si="3"/>
        <v>523978</v>
      </c>
      <c r="E77" s="152">
        <v>2022</v>
      </c>
      <c r="F77" s="62"/>
      <c r="G77" s="63"/>
      <c r="H77" s="63">
        <f>523978</f>
        <v>523978</v>
      </c>
      <c r="I77" s="115"/>
      <c r="J77" s="61"/>
      <c r="K77" s="213" t="s">
        <v>181</v>
      </c>
      <c r="M77" s="76"/>
      <c r="N77" s="40"/>
      <c r="O77" s="203"/>
    </row>
    <row r="78" spans="1:15" ht="45.75" customHeight="1" x14ac:dyDescent="0.25">
      <c r="A78" s="58" t="s">
        <v>31</v>
      </c>
      <c r="B78" s="59" t="s">
        <v>86</v>
      </c>
      <c r="C78" s="60">
        <f>0.12</f>
        <v>0.12</v>
      </c>
      <c r="D78" s="50">
        <f t="shared" si="3"/>
        <v>330000</v>
      </c>
      <c r="E78" s="152" t="s">
        <v>109</v>
      </c>
      <c r="F78" s="62"/>
      <c r="G78" s="63"/>
      <c r="H78" s="63"/>
      <c r="I78" s="115"/>
      <c r="J78" s="61">
        <v>330000</v>
      </c>
      <c r="K78" s="123" t="s">
        <v>48</v>
      </c>
    </row>
    <row r="79" spans="1:15" ht="17.25" customHeight="1" x14ac:dyDescent="0.25">
      <c r="A79" s="90" t="s">
        <v>32</v>
      </c>
      <c r="B79" s="59" t="s">
        <v>87</v>
      </c>
      <c r="C79" s="60">
        <v>0.12</v>
      </c>
      <c r="D79" s="50">
        <f t="shared" si="3"/>
        <v>330000</v>
      </c>
      <c r="E79" s="152" t="s">
        <v>109</v>
      </c>
      <c r="F79" s="62"/>
      <c r="G79" s="63"/>
      <c r="H79" s="63"/>
      <c r="I79" s="115"/>
      <c r="J79" s="61">
        <v>330000</v>
      </c>
      <c r="K79" s="123" t="s">
        <v>48</v>
      </c>
    </row>
    <row r="80" spans="1:15" ht="45.75" customHeight="1" x14ac:dyDescent="0.25">
      <c r="A80" s="133" t="s">
        <v>22</v>
      </c>
      <c r="B80" s="286" t="s">
        <v>210</v>
      </c>
      <c r="C80" s="21">
        <v>0.17</v>
      </c>
      <c r="D80" s="50">
        <f t="shared" si="3"/>
        <v>510000</v>
      </c>
      <c r="E80" s="153" t="s">
        <v>109</v>
      </c>
      <c r="F80" s="22">
        <v>0</v>
      </c>
      <c r="G80" s="18">
        <v>0</v>
      </c>
      <c r="H80" s="18">
        <v>0</v>
      </c>
      <c r="I80" s="112">
        <v>0</v>
      </c>
      <c r="J80" s="30">
        <f>510000</f>
        <v>510000</v>
      </c>
      <c r="K80" s="273" t="s">
        <v>164</v>
      </c>
      <c r="L80" s="7"/>
    </row>
    <row r="81" spans="1:12" ht="76.5" customHeight="1" x14ac:dyDescent="0.25">
      <c r="A81" s="135" t="s">
        <v>23</v>
      </c>
      <c r="B81" s="226" t="s">
        <v>145</v>
      </c>
      <c r="C81" s="51">
        <v>0.27</v>
      </c>
      <c r="D81" s="50">
        <f t="shared" si="3"/>
        <v>268273</v>
      </c>
      <c r="E81" s="148">
        <v>2020</v>
      </c>
      <c r="F81" s="16">
        <v>268273</v>
      </c>
      <c r="G81" s="64">
        <v>0</v>
      </c>
      <c r="H81" s="64">
        <v>0</v>
      </c>
      <c r="I81" s="111">
        <v>0</v>
      </c>
      <c r="J81" s="29">
        <v>0</v>
      </c>
      <c r="K81" s="245" t="s">
        <v>155</v>
      </c>
      <c r="L81" s="7"/>
    </row>
    <row r="82" spans="1:12" ht="77.25" customHeight="1" x14ac:dyDescent="0.25">
      <c r="A82" s="136" t="s">
        <v>24</v>
      </c>
      <c r="B82" s="88" t="s">
        <v>92</v>
      </c>
      <c r="C82" s="17">
        <f>0.35</f>
        <v>0.35</v>
      </c>
      <c r="D82" s="50">
        <f t="shared" si="3"/>
        <v>3350000</v>
      </c>
      <c r="E82" s="292" t="s">
        <v>143</v>
      </c>
      <c r="F82" s="16">
        <v>0</v>
      </c>
      <c r="G82" s="15">
        <v>0</v>
      </c>
      <c r="H82" s="15">
        <v>0</v>
      </c>
      <c r="I82" s="111">
        <v>1350000</v>
      </c>
      <c r="J82" s="29">
        <v>2000000</v>
      </c>
      <c r="K82" s="25" t="s">
        <v>167</v>
      </c>
    </row>
    <row r="83" spans="1:12" ht="60" customHeight="1" x14ac:dyDescent="0.25">
      <c r="A83" s="136" t="s">
        <v>25</v>
      </c>
      <c r="B83" s="287" t="s">
        <v>212</v>
      </c>
      <c r="C83" s="17">
        <f>0.26+0.05</f>
        <v>0.31</v>
      </c>
      <c r="D83" s="50">
        <f>F83+G83+H83+I83+J83</f>
        <v>2450000</v>
      </c>
      <c r="E83" s="154">
        <v>2022</v>
      </c>
      <c r="F83" s="16">
        <f>0</f>
        <v>0</v>
      </c>
      <c r="G83" s="15">
        <v>0</v>
      </c>
      <c r="H83" s="15">
        <v>2450000</v>
      </c>
      <c r="I83" s="111">
        <v>0</v>
      </c>
      <c r="J83" s="29">
        <v>0</v>
      </c>
      <c r="K83" s="25" t="s">
        <v>137</v>
      </c>
    </row>
    <row r="84" spans="1:12" ht="59.25" customHeight="1" x14ac:dyDescent="0.25">
      <c r="A84" s="135" t="s">
        <v>26</v>
      </c>
      <c r="B84" s="287" t="s">
        <v>211</v>
      </c>
      <c r="C84" s="17">
        <f>0.2+0.035</f>
        <v>0.23500000000000001</v>
      </c>
      <c r="D84" s="50">
        <f t="shared" ref="D84:D100" si="10">F84+G84+H84+I84+J84</f>
        <v>750000</v>
      </c>
      <c r="E84" s="250" t="s">
        <v>109</v>
      </c>
      <c r="F84" s="16">
        <v>0</v>
      </c>
      <c r="G84" s="15">
        <v>0</v>
      </c>
      <c r="H84" s="15">
        <v>0</v>
      </c>
      <c r="I84" s="111">
        <v>0</v>
      </c>
      <c r="J84" s="29">
        <v>750000</v>
      </c>
      <c r="K84" s="108" t="s">
        <v>48</v>
      </c>
    </row>
    <row r="85" spans="1:12" ht="58.5" customHeight="1" x14ac:dyDescent="0.25">
      <c r="A85" s="136" t="s">
        <v>45</v>
      </c>
      <c r="B85" s="88" t="s">
        <v>84</v>
      </c>
      <c r="C85" s="17">
        <v>0.08</v>
      </c>
      <c r="D85" s="50">
        <f t="shared" si="10"/>
        <v>440000</v>
      </c>
      <c r="E85" s="148" t="s">
        <v>109</v>
      </c>
      <c r="F85" s="16">
        <v>0</v>
      </c>
      <c r="G85" s="15">
        <v>0</v>
      </c>
      <c r="H85" s="15">
        <v>0</v>
      </c>
      <c r="I85" s="111">
        <v>0</v>
      </c>
      <c r="J85" s="29">
        <v>440000</v>
      </c>
      <c r="K85" s="108" t="s">
        <v>48</v>
      </c>
    </row>
    <row r="86" spans="1:12" ht="59.25" customHeight="1" x14ac:dyDescent="0.25">
      <c r="A86" s="135" t="s">
        <v>46</v>
      </c>
      <c r="B86" s="88" t="s">
        <v>85</v>
      </c>
      <c r="C86" s="17">
        <f>0.06+0.05+0.05+0.03</f>
        <v>0.19</v>
      </c>
      <c r="D86" s="50">
        <f t="shared" si="10"/>
        <v>1300000</v>
      </c>
      <c r="E86" s="148" t="s">
        <v>109</v>
      </c>
      <c r="F86" s="16">
        <v>0</v>
      </c>
      <c r="G86" s="15">
        <v>0</v>
      </c>
      <c r="H86" s="15">
        <v>0</v>
      </c>
      <c r="I86" s="111">
        <v>0</v>
      </c>
      <c r="J86" s="29">
        <v>1300000</v>
      </c>
      <c r="K86" s="108" t="s">
        <v>48</v>
      </c>
    </row>
    <row r="87" spans="1:12" ht="77.25" customHeight="1" x14ac:dyDescent="0.25">
      <c r="A87" s="137" t="s">
        <v>55</v>
      </c>
      <c r="B87" s="101" t="s">
        <v>106</v>
      </c>
      <c r="C87" s="47">
        <v>0.2</v>
      </c>
      <c r="D87" s="50">
        <f t="shared" si="10"/>
        <v>2013070</v>
      </c>
      <c r="E87" s="260" t="s">
        <v>169</v>
      </c>
      <c r="F87" s="48">
        <v>473070</v>
      </c>
      <c r="G87" s="49">
        <v>0</v>
      </c>
      <c r="H87" s="49">
        <v>0</v>
      </c>
      <c r="I87" s="120">
        <v>0</v>
      </c>
      <c r="J87" s="109">
        <v>1540000</v>
      </c>
      <c r="K87" s="214" t="s">
        <v>168</v>
      </c>
      <c r="L87" s="31"/>
    </row>
    <row r="88" spans="1:12" ht="45" customHeight="1" x14ac:dyDescent="0.25">
      <c r="A88" s="136" t="s">
        <v>49</v>
      </c>
      <c r="B88" s="36" t="s">
        <v>89</v>
      </c>
      <c r="C88" s="17">
        <f>C90+C89+C92+C91+C93</f>
        <v>2.91</v>
      </c>
      <c r="D88" s="50">
        <f t="shared" si="10"/>
        <v>17127244</v>
      </c>
      <c r="E88" s="144" t="s">
        <v>118</v>
      </c>
      <c r="F88" s="16">
        <f>F90+F89+F92+F91+F93</f>
        <v>0</v>
      </c>
      <c r="G88" s="15">
        <f>G90+G89+G92+G91+G93</f>
        <v>0</v>
      </c>
      <c r="H88" s="15">
        <f>H90+H89+H92+H91+H93</f>
        <v>1337244</v>
      </c>
      <c r="I88" s="111">
        <f>I90+I89+I92+I91+I93</f>
        <v>760000</v>
      </c>
      <c r="J88" s="29">
        <f>J90+J89+J92+J91+J93</f>
        <v>15030000</v>
      </c>
      <c r="K88" s="316" t="s">
        <v>170</v>
      </c>
      <c r="L88" s="31"/>
    </row>
    <row r="89" spans="1:12" ht="45" customHeight="1" x14ac:dyDescent="0.25">
      <c r="A89" s="44" t="s">
        <v>30</v>
      </c>
      <c r="B89" s="37" t="s">
        <v>93</v>
      </c>
      <c r="C89" s="35">
        <v>0.21</v>
      </c>
      <c r="D89" s="50">
        <f t="shared" si="10"/>
        <v>1337244</v>
      </c>
      <c r="E89" s="155">
        <v>2022</v>
      </c>
      <c r="F89" s="38"/>
      <c r="G89" s="33"/>
      <c r="H89" s="33">
        <v>1337244</v>
      </c>
      <c r="I89" s="113"/>
      <c r="J89" s="32"/>
      <c r="K89" s="317"/>
      <c r="L89" s="98"/>
    </row>
    <row r="90" spans="1:12" ht="45" x14ac:dyDescent="0.25">
      <c r="A90" s="44" t="s">
        <v>31</v>
      </c>
      <c r="B90" s="217" t="s">
        <v>101</v>
      </c>
      <c r="C90" s="35">
        <f>1.09-0.3</f>
        <v>0.79</v>
      </c>
      <c r="D90" s="50">
        <f t="shared" si="10"/>
        <v>2650000</v>
      </c>
      <c r="E90" s="227" t="s">
        <v>109</v>
      </c>
      <c r="F90" s="218"/>
      <c r="G90" s="33"/>
      <c r="H90" s="113"/>
      <c r="I90" s="139"/>
      <c r="J90" s="32">
        <v>2650000</v>
      </c>
      <c r="K90" s="318"/>
      <c r="L90" s="233"/>
    </row>
    <row r="91" spans="1:12" ht="30" x14ac:dyDescent="0.25">
      <c r="A91" s="238" t="s">
        <v>32</v>
      </c>
      <c r="B91" s="239" t="s">
        <v>146</v>
      </c>
      <c r="C91" s="35">
        <v>1.23</v>
      </c>
      <c r="D91" s="50">
        <f t="shared" si="10"/>
        <v>11780000</v>
      </c>
      <c r="E91" s="261" t="s">
        <v>109</v>
      </c>
      <c r="F91" s="218"/>
      <c r="G91" s="33"/>
      <c r="H91" s="118"/>
      <c r="I91" s="34"/>
      <c r="J91" s="32">
        <v>11780000</v>
      </c>
      <c r="K91" s="240" t="s">
        <v>182</v>
      </c>
      <c r="L91" s="138"/>
    </row>
    <row r="92" spans="1:12" ht="32.25" customHeight="1" x14ac:dyDescent="0.25">
      <c r="A92" s="228" t="s">
        <v>33</v>
      </c>
      <c r="B92" s="37" t="s">
        <v>200</v>
      </c>
      <c r="C92" s="35">
        <v>0.3</v>
      </c>
      <c r="D92" s="50">
        <f t="shared" si="10"/>
        <v>600000</v>
      </c>
      <c r="E92" s="291" t="s">
        <v>109</v>
      </c>
      <c r="F92" s="38"/>
      <c r="G92" s="33"/>
      <c r="H92" s="33"/>
      <c r="I92" s="139"/>
      <c r="J92" s="32">
        <v>600000</v>
      </c>
      <c r="K92" s="131" t="s">
        <v>202</v>
      </c>
      <c r="L92" s="138"/>
    </row>
    <row r="93" spans="1:12" ht="47.25" customHeight="1" x14ac:dyDescent="0.25">
      <c r="A93" s="281" t="s">
        <v>34</v>
      </c>
      <c r="B93" s="37" t="s">
        <v>201</v>
      </c>
      <c r="C93" s="35">
        <v>0.38</v>
      </c>
      <c r="D93" s="50">
        <f t="shared" si="10"/>
        <v>760000</v>
      </c>
      <c r="E93" s="282">
        <v>2023</v>
      </c>
      <c r="F93" s="38"/>
      <c r="G93" s="33"/>
      <c r="H93" s="33"/>
      <c r="I93" s="113">
        <v>760000</v>
      </c>
      <c r="J93" s="32"/>
      <c r="K93" s="274" t="s">
        <v>148</v>
      </c>
      <c r="L93" s="138"/>
    </row>
    <row r="94" spans="1:12" ht="30" x14ac:dyDescent="0.25">
      <c r="A94" s="136" t="s">
        <v>50</v>
      </c>
      <c r="B94" s="36" t="s">
        <v>59</v>
      </c>
      <c r="C94" s="17">
        <v>0.2</v>
      </c>
      <c r="D94" s="50">
        <f t="shared" si="10"/>
        <v>770000</v>
      </c>
      <c r="E94" s="148" t="s">
        <v>109</v>
      </c>
      <c r="F94" s="16">
        <v>0</v>
      </c>
      <c r="G94" s="15">
        <v>0</v>
      </c>
      <c r="H94" s="15">
        <v>0</v>
      </c>
      <c r="I94" s="111">
        <v>0</v>
      </c>
      <c r="J94" s="29">
        <v>770000</v>
      </c>
      <c r="K94" s="107" t="s">
        <v>48</v>
      </c>
      <c r="L94" s="7"/>
    </row>
    <row r="95" spans="1:12" x14ac:dyDescent="0.25">
      <c r="A95" s="136" t="s">
        <v>51</v>
      </c>
      <c r="B95" s="36" t="s">
        <v>60</v>
      </c>
      <c r="C95" s="17">
        <v>0.75</v>
      </c>
      <c r="D95" s="50">
        <f t="shared" si="10"/>
        <v>2900000</v>
      </c>
      <c r="E95" s="142" t="s">
        <v>109</v>
      </c>
      <c r="F95" s="16">
        <v>0</v>
      </c>
      <c r="G95" s="15">
        <v>0</v>
      </c>
      <c r="H95" s="15">
        <v>0</v>
      </c>
      <c r="I95" s="111">
        <v>0</v>
      </c>
      <c r="J95" s="29">
        <v>2900000</v>
      </c>
      <c r="K95" s="107" t="s">
        <v>48</v>
      </c>
      <c r="L95" s="7"/>
    </row>
    <row r="96" spans="1:12" ht="30" x14ac:dyDescent="0.25">
      <c r="A96" s="136" t="s">
        <v>56</v>
      </c>
      <c r="B96" s="36" t="s">
        <v>119</v>
      </c>
      <c r="C96" s="17">
        <f>C97+C98</f>
        <v>1.5</v>
      </c>
      <c r="D96" s="50">
        <f t="shared" si="10"/>
        <v>5775000</v>
      </c>
      <c r="E96" s="142" t="s">
        <v>109</v>
      </c>
      <c r="F96" s="16">
        <f>F97+F98</f>
        <v>0</v>
      </c>
      <c r="G96" s="15">
        <f>G97+G98</f>
        <v>0</v>
      </c>
      <c r="H96" s="15">
        <f>H97+H98</f>
        <v>0</v>
      </c>
      <c r="I96" s="111">
        <f>I97+I98</f>
        <v>0</v>
      </c>
      <c r="J96" s="29">
        <f>J97+J98</f>
        <v>5775000</v>
      </c>
      <c r="K96" s="107"/>
      <c r="L96" s="31"/>
    </row>
    <row r="97" spans="1:12" ht="30" x14ac:dyDescent="0.25">
      <c r="A97" s="169" t="s">
        <v>30</v>
      </c>
      <c r="B97" s="170" t="s">
        <v>171</v>
      </c>
      <c r="C97" s="69">
        <v>0.9</v>
      </c>
      <c r="D97" s="171">
        <f t="shared" si="10"/>
        <v>3465000</v>
      </c>
      <c r="E97" s="150" t="s">
        <v>109</v>
      </c>
      <c r="F97" s="46">
        <v>0</v>
      </c>
      <c r="G97" s="42">
        <v>0</v>
      </c>
      <c r="H97" s="42">
        <v>0</v>
      </c>
      <c r="I97" s="118">
        <v>0</v>
      </c>
      <c r="J97" s="45">
        <v>3465000</v>
      </c>
      <c r="K97" s="131" t="s">
        <v>48</v>
      </c>
      <c r="L97" s="7"/>
    </row>
    <row r="98" spans="1:12" x14ac:dyDescent="0.25">
      <c r="A98" s="169" t="s">
        <v>31</v>
      </c>
      <c r="B98" s="170" t="s">
        <v>120</v>
      </c>
      <c r="C98" s="172">
        <v>0.6</v>
      </c>
      <c r="D98" s="171">
        <f t="shared" si="10"/>
        <v>2310000</v>
      </c>
      <c r="E98" s="150" t="s">
        <v>109</v>
      </c>
      <c r="F98" s="173">
        <v>0</v>
      </c>
      <c r="G98" s="174">
        <v>0</v>
      </c>
      <c r="H98" s="174">
        <v>0</v>
      </c>
      <c r="I98" s="117">
        <v>0</v>
      </c>
      <c r="J98" s="175">
        <v>2310000</v>
      </c>
      <c r="K98" s="131" t="s">
        <v>48</v>
      </c>
      <c r="L98" s="7"/>
    </row>
    <row r="99" spans="1:12" ht="35.25" customHeight="1" x14ac:dyDescent="0.25">
      <c r="A99" s="141" t="s">
        <v>52</v>
      </c>
      <c r="B99" s="129" t="s">
        <v>122</v>
      </c>
      <c r="C99" s="21">
        <v>0.1</v>
      </c>
      <c r="D99" s="50">
        <f t="shared" si="10"/>
        <v>385000</v>
      </c>
      <c r="E99" s="142" t="s">
        <v>109</v>
      </c>
      <c r="F99" s="22">
        <v>0</v>
      </c>
      <c r="G99" s="18">
        <v>0</v>
      </c>
      <c r="H99" s="18">
        <v>0</v>
      </c>
      <c r="I99" s="112">
        <v>0</v>
      </c>
      <c r="J99" s="30">
        <v>385000</v>
      </c>
      <c r="K99" s="131" t="s">
        <v>48</v>
      </c>
      <c r="L99" s="7"/>
    </row>
    <row r="100" spans="1:12" ht="76.5" customHeight="1" x14ac:dyDescent="0.25">
      <c r="A100" s="140" t="s">
        <v>53</v>
      </c>
      <c r="B100" s="129" t="s">
        <v>66</v>
      </c>
      <c r="C100" s="21">
        <v>1.1399999999999999</v>
      </c>
      <c r="D100" s="179">
        <f t="shared" si="10"/>
        <v>7900000</v>
      </c>
      <c r="E100" s="262" t="s">
        <v>109</v>
      </c>
      <c r="F100" s="22">
        <v>0</v>
      </c>
      <c r="G100" s="18">
        <v>0</v>
      </c>
      <c r="H100" s="18">
        <v>0</v>
      </c>
      <c r="I100" s="112">
        <v>0</v>
      </c>
      <c r="J100" s="30">
        <v>7900000</v>
      </c>
      <c r="K100" s="215" t="s">
        <v>156</v>
      </c>
      <c r="L100" s="7"/>
    </row>
    <row r="101" spans="1:12" ht="32.25" customHeight="1" x14ac:dyDescent="0.25">
      <c r="A101" s="136">
        <v>34</v>
      </c>
      <c r="B101" s="36" t="s">
        <v>127</v>
      </c>
      <c r="C101" s="17">
        <v>0.12</v>
      </c>
      <c r="D101" s="50">
        <f>F101+G101+H101+I101+J101</f>
        <v>515154</v>
      </c>
      <c r="E101" s="183">
        <v>2020</v>
      </c>
      <c r="F101" s="188">
        <f>515154</f>
        <v>515154</v>
      </c>
      <c r="G101" s="15">
        <v>0</v>
      </c>
      <c r="H101" s="15">
        <v>0</v>
      </c>
      <c r="I101" s="189">
        <v>0</v>
      </c>
      <c r="J101" s="29">
        <v>0</v>
      </c>
      <c r="K101" s="216" t="s">
        <v>147</v>
      </c>
      <c r="L101" s="7"/>
    </row>
    <row r="102" spans="1:12" ht="80.25" customHeight="1" x14ac:dyDescent="0.25">
      <c r="A102" s="194">
        <v>35</v>
      </c>
      <c r="B102" s="36" t="s">
        <v>128</v>
      </c>
      <c r="C102" s="17">
        <v>0.32</v>
      </c>
      <c r="D102" s="50">
        <f t="shared" ref="D102:D105" si="11">F102+G102+H102+I102+J102</f>
        <v>807740.29999999993</v>
      </c>
      <c r="E102" s="229" t="s">
        <v>136</v>
      </c>
      <c r="F102" s="188">
        <f>47234.5+23201.1</f>
        <v>70435.600000000006</v>
      </c>
      <c r="G102" s="15">
        <f>737304.7</f>
        <v>737304.7</v>
      </c>
      <c r="H102" s="15">
        <v>0</v>
      </c>
      <c r="I102" s="189">
        <v>0</v>
      </c>
      <c r="J102" s="29">
        <v>0</v>
      </c>
      <c r="K102" s="216" t="s">
        <v>217</v>
      </c>
      <c r="L102" s="7">
        <f>6895.58+16305.52</f>
        <v>23201.1</v>
      </c>
    </row>
    <row r="103" spans="1:12" ht="47.25" customHeight="1" x14ac:dyDescent="0.25">
      <c r="A103" s="194">
        <v>36</v>
      </c>
      <c r="B103" s="36" t="s">
        <v>129</v>
      </c>
      <c r="C103" s="17">
        <v>0.57999999999999996</v>
      </c>
      <c r="D103" s="50">
        <f t="shared" si="11"/>
        <v>2600000</v>
      </c>
      <c r="E103" s="190">
        <v>2022</v>
      </c>
      <c r="F103" s="188">
        <v>0</v>
      </c>
      <c r="G103" s="15">
        <v>0</v>
      </c>
      <c r="H103" s="15">
        <v>2600000</v>
      </c>
      <c r="I103" s="189">
        <v>0</v>
      </c>
      <c r="J103" s="191">
        <v>0</v>
      </c>
      <c r="K103" s="195" t="s">
        <v>48</v>
      </c>
      <c r="L103" s="98"/>
    </row>
    <row r="104" spans="1:12" ht="62.25" customHeight="1" x14ac:dyDescent="0.25">
      <c r="A104" s="194">
        <v>37</v>
      </c>
      <c r="B104" s="280" t="s">
        <v>130</v>
      </c>
      <c r="C104" s="17">
        <v>1.1000000000000001</v>
      </c>
      <c r="D104" s="50">
        <f t="shared" si="11"/>
        <v>5000000</v>
      </c>
      <c r="E104" s="270">
        <v>2023</v>
      </c>
      <c r="F104" s="188">
        <v>0</v>
      </c>
      <c r="G104" s="15">
        <v>0</v>
      </c>
      <c r="H104" s="15">
        <v>0</v>
      </c>
      <c r="I104" s="189">
        <v>5000000</v>
      </c>
      <c r="J104" s="29">
        <v>0</v>
      </c>
      <c r="K104" s="195" t="s">
        <v>165</v>
      </c>
      <c r="L104" s="98"/>
    </row>
    <row r="105" spans="1:12" ht="62.25" customHeight="1" thickBot="1" x14ac:dyDescent="0.3">
      <c r="A105" s="277">
        <v>38</v>
      </c>
      <c r="B105" s="278" t="s">
        <v>191</v>
      </c>
      <c r="C105" s="21">
        <f>0.54+0.24</f>
        <v>0.78</v>
      </c>
      <c r="D105" s="279">
        <f t="shared" si="11"/>
        <v>3776187.12</v>
      </c>
      <c r="E105" s="269">
        <v>2021</v>
      </c>
      <c r="F105" s="271">
        <v>0</v>
      </c>
      <c r="G105" s="288">
        <f>3649662.74+126524.38</f>
        <v>3776187.12</v>
      </c>
      <c r="H105" s="192">
        <v>0</v>
      </c>
      <c r="I105" s="192">
        <v>0</v>
      </c>
      <c r="J105" s="263">
        <v>0</v>
      </c>
      <c r="K105" s="272" t="s">
        <v>183</v>
      </c>
      <c r="L105" s="138"/>
    </row>
    <row r="106" spans="1:12" ht="24" customHeight="1" thickBot="1" x14ac:dyDescent="0.3">
      <c r="A106" s="311" t="s">
        <v>65</v>
      </c>
      <c r="B106" s="312"/>
      <c r="C106" s="187">
        <f>C8+C9+C10+C26+C36+C37+C40+C43+C44+C47+C52+C53+C56+C57+C58+C59+C62+C63+C76+C80+C81+C82+C83+C84+C85+C86+C87+C88+C94+C95+C96+C100+C101+C102+C103+C104+C99+C105</f>
        <v>42.75500000000001</v>
      </c>
      <c r="D106" s="187">
        <f>D8+D9+D10+D26+D36+D37+D40+D43+D44+D47+D52+D53+D56+D57+D58+D59+D62+D63+D76+D80+D81+D82+D83+D84+D85+D86+D87+D88+D94+D95+D96+D100+D101+D102+D103+D104+D99+D105</f>
        <v>159160152.22000003</v>
      </c>
      <c r="E106" s="181"/>
      <c r="F106" s="182">
        <f>F8+F9+F10+F26+F36+F37+F40+F43+F44+F47+F52+F53+F56+F57+F58+F59+F62+F63+F76+F80+F81+F82+F83+F84+F85+F86+F87+F88+F94+F95+F96+F100+F101+F102+F103+F104+F99+F105</f>
        <v>16314196.4</v>
      </c>
      <c r="G106" s="180">
        <f>G8+G9+G10+G26+G36+G37+G40+G43+G44+G47+G52+G53+G56+G57+G58+G59+G62+G63+G76+G80+G81+G82+G83+G84+G85+G86+G87+G88+G94+G95+G96+G100+G101+G102+G103+G104+G99+G105</f>
        <v>7131733.8200000003</v>
      </c>
      <c r="H106" s="180">
        <f>H8+H9+H10+H26+H36+H37+H40+H43+H44+H47+H52+H53+H56+H57+H58+H59+H62+H63+H76+H80+H81+H82+H83+H84+H85+H86+H87+H88+H94+H95+H96+H100+H101+H102+H103+H104+H99+H105</f>
        <v>14481222</v>
      </c>
      <c r="I106" s="180">
        <f>I8+I9+I10+I26+I36+I37+I40+I43+I44+I47+I52+I53+I56+I57+I58+I59+I62+I63+I76+I80+I81+I82+I83+I84+I85+I86+I87+I88+I94+I95+I96+I100+I101+I102+I103+I104+I99+I105</f>
        <v>18268000</v>
      </c>
      <c r="J106" s="185">
        <f>J8+J9+J10+J26+J36+J37+J40+J43+J44+J47+J52+J53+J56+J57+J58+J59+J62+J63+J76+J80+J81+J82+J83+J84+J85+J86+J87+J88+J94+J95+J96+J100+J101+J102+J103+J104+J99+J105</f>
        <v>102965000</v>
      </c>
      <c r="K106" s="186" t="s">
        <v>54</v>
      </c>
      <c r="L106" s="4"/>
    </row>
    <row r="107" spans="1:1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2" x14ac:dyDescent="0.25">
      <c r="E111" s="5"/>
    </row>
  </sheetData>
  <mergeCells count="17">
    <mergeCell ref="E27:E34"/>
    <mergeCell ref="E16:E25"/>
    <mergeCell ref="K17:K19"/>
    <mergeCell ref="A106:B106"/>
    <mergeCell ref="K53:K55"/>
    <mergeCell ref="K88:K90"/>
    <mergeCell ref="K64:K66"/>
    <mergeCell ref="K12:K15"/>
    <mergeCell ref="A4:K4"/>
    <mergeCell ref="D6:D7"/>
    <mergeCell ref="C6:C7"/>
    <mergeCell ref="B6:B7"/>
    <mergeCell ref="A6:A7"/>
    <mergeCell ref="K6:K7"/>
    <mergeCell ref="F6:J6"/>
    <mergeCell ref="E6:E7"/>
    <mergeCell ref="E12:E15"/>
  </mergeCells>
  <pageMargins left="0.26" right="0.15748031496062992" top="0.31496062992125984" bottom="0.35433070866141736" header="0.15748031496062992" footer="0.19685039370078741"/>
  <pageSetup paperSize="9" scale="75" fitToHeight="0" orientation="landscape" r:id="rId1"/>
  <rowBreaks count="6" manualBreakCount="6">
    <brk id="25" max="10" man="1"/>
    <brk id="34" max="10" man="1"/>
    <brk id="50" max="10" man="1"/>
    <brk id="66" max="10" man="1"/>
    <brk id="75" max="10" man="1"/>
    <brk id="87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2021-09-24T12:39:58Z</dcterms:modified>
</cp:coreProperties>
</file>